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ceholdings-my.sharepoint.com/personal/kjelinek1_cpex_com/Documents/Desktop/Updated Templates/"/>
    </mc:Choice>
  </mc:AlternateContent>
  <xr:revisionPtr revIDLastSave="0" documentId="8_{DD617015-6747-4319-A68D-77FFCCD6CBEF}" xr6:coauthVersionLast="47" xr6:coauthVersionMax="47" xr10:uidLastSave="{00000000-0000-0000-0000-000000000000}"/>
  <bookViews>
    <workbookView xWindow="-110" yWindow="-110" windowWidth="19420" windowHeight="10560" tabRatio="500" xr2:uid="{00000000-000D-0000-FFFF-FFFF00000000}"/>
  </bookViews>
  <sheets>
    <sheet name="Cover" sheetId="13" r:id="rId1"/>
    <sheet name="Main" sheetId="15" r:id="rId2"/>
  </sheets>
  <definedNames>
    <definedName name="_xlnm.Print_Area" localSheetId="1">Main!$A$1:$X$36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W4" i="15" l="1"/>
  <c r="K35" i="15"/>
  <c r="K34" i="15"/>
  <c r="H26" i="15"/>
  <c r="H27" i="15"/>
  <c r="H25" i="15"/>
  <c r="N36" i="15"/>
  <c r="H43" i="15"/>
  <c r="H10" i="15"/>
  <c r="H24" i="15"/>
  <c r="H9" i="15"/>
  <c r="H16" i="15"/>
  <c r="H8" i="15"/>
  <c r="H15" i="15"/>
  <c r="H14" i="15"/>
  <c r="H13" i="15"/>
  <c r="H12" i="15"/>
  <c r="H11" i="15"/>
  <c r="H42" i="15"/>
  <c r="H34" i="15"/>
  <c r="BL32" i="15"/>
  <c r="N38" i="15"/>
  <c r="K33" i="15"/>
  <c r="H30" i="15"/>
  <c r="N33" i="15"/>
  <c r="N39" i="15"/>
  <c r="H33" i="15"/>
  <c r="N43" i="15"/>
  <c r="N37" i="15"/>
  <c r="K32" i="15"/>
  <c r="K31" i="15"/>
  <c r="H32" i="15"/>
  <c r="H22" i="15"/>
  <c r="H40" i="15"/>
  <c r="H18" i="15"/>
  <c r="H7" i="15"/>
  <c r="H41" i="15"/>
  <c r="H31" i="15"/>
  <c r="H21" i="15"/>
  <c r="N42" i="15"/>
  <c r="N35" i="15"/>
  <c r="H20" i="15"/>
  <c r="N34" i="15"/>
  <c r="H35" i="15"/>
  <c r="H39" i="15"/>
  <c r="H29" i="15"/>
  <c r="H19" i="15"/>
  <c r="N41" i="15"/>
  <c r="N32" i="15"/>
  <c r="N31" i="15"/>
  <c r="H36" i="15"/>
  <c r="H28" i="15"/>
  <c r="N40" i="15"/>
  <c r="AV60" i="15"/>
  <c r="AV10" i="15"/>
  <c r="AV104" i="15"/>
  <c r="AV175" i="15"/>
  <c r="AV19" i="15"/>
  <c r="AV8" i="15"/>
  <c r="AV115" i="15"/>
  <c r="AV171" i="15"/>
  <c r="AV129" i="15"/>
  <c r="AV206" i="15"/>
  <c r="AV263" i="15"/>
  <c r="AV235" i="15"/>
  <c r="AV167" i="15"/>
  <c r="AV236" i="15"/>
  <c r="AV186" i="15"/>
  <c r="AV280" i="15"/>
  <c r="AV70" i="15"/>
  <c r="AV197" i="15"/>
  <c r="AV170" i="15"/>
  <c r="AV39" i="15"/>
  <c r="AV100" i="15"/>
  <c r="AV50" i="15"/>
  <c r="AV144" i="15"/>
  <c r="AV43" i="15"/>
  <c r="AV69" i="15"/>
  <c r="AV93" i="15"/>
  <c r="AV243" i="15"/>
  <c r="AV161" i="15"/>
  <c r="AV238" i="15"/>
  <c r="AV11" i="15"/>
  <c r="AV260" i="15"/>
  <c r="AV210" i="15"/>
  <c r="AV222" i="15"/>
  <c r="AV12" i="15"/>
  <c r="AV281" i="15"/>
  <c r="AV56" i="15"/>
  <c r="AV223" i="15"/>
  <c r="AV183" i="15"/>
  <c r="AV201" i="15"/>
  <c r="AV194" i="15"/>
  <c r="AV106" i="15"/>
  <c r="AV58" i="15"/>
  <c r="AV91" i="15"/>
  <c r="AV251" i="15"/>
  <c r="AV237" i="15"/>
  <c r="AV226" i="15"/>
  <c r="AV135" i="15"/>
  <c r="AV82" i="15"/>
  <c r="AV153" i="15"/>
  <c r="AV287" i="15"/>
  <c r="AV98" i="15"/>
  <c r="AV299" i="15"/>
  <c r="AV218" i="15"/>
  <c r="AV7" i="15"/>
  <c r="AV30" i="15"/>
  <c r="AV21" i="15"/>
  <c r="AV134" i="15"/>
  <c r="AV164" i="15"/>
  <c r="AV285" i="15"/>
  <c r="AV302" i="15"/>
  <c r="AV176" i="15"/>
  <c r="AV291" i="15"/>
  <c r="AV265" i="15"/>
  <c r="AV40" i="15"/>
  <c r="AV303" i="15"/>
  <c r="AV131" i="15"/>
  <c r="AV118" i="15"/>
  <c r="AV23" i="15"/>
  <c r="AV258" i="15"/>
  <c r="AV65" i="15"/>
  <c r="AV142" i="15"/>
  <c r="AV55" i="15"/>
  <c r="AV234" i="15"/>
  <c r="AV47" i="15"/>
  <c r="AV172" i="15"/>
  <c r="AV122" i="15"/>
  <c r="AV216" i="15"/>
  <c r="AV277" i="15"/>
  <c r="AV71" i="15"/>
  <c r="AV297" i="15"/>
  <c r="AV240" i="15"/>
  <c r="AV36" i="15"/>
  <c r="AV305" i="15"/>
  <c r="AV80" i="15"/>
  <c r="AV103" i="15"/>
  <c r="AV279" i="15"/>
  <c r="AV157" i="15"/>
  <c r="AV290" i="15"/>
  <c r="AV97" i="15"/>
  <c r="AV174" i="15"/>
  <c r="AV141" i="15"/>
  <c r="AV196" i="15"/>
  <c r="AV146" i="15"/>
  <c r="AV94" i="15"/>
  <c r="AV203" i="15"/>
  <c r="AV217" i="15"/>
  <c r="AV294" i="15"/>
  <c r="AV143" i="15"/>
  <c r="AV29" i="15"/>
  <c r="AV179" i="15"/>
  <c r="AV278" i="15"/>
  <c r="AV101" i="15"/>
  <c r="AV156" i="15"/>
  <c r="AV83" i="15"/>
  <c r="AV244" i="15"/>
  <c r="AV288" i="15"/>
  <c r="AV78" i="15"/>
  <c r="AV229" i="15"/>
  <c r="AV145" i="15"/>
  <c r="AV108" i="15"/>
  <c r="AV152" i="15"/>
  <c r="AV63" i="15"/>
  <c r="AV41" i="15"/>
  <c r="AV158" i="15"/>
  <c r="AV241" i="15"/>
  <c r="AV16" i="15"/>
  <c r="AV45" i="15"/>
  <c r="AV276" i="15"/>
  <c r="AV25" i="15"/>
  <c r="AV110" i="15"/>
  <c r="AV132" i="15"/>
  <c r="AV123" i="15"/>
  <c r="AV227" i="15"/>
  <c r="AV230" i="15"/>
  <c r="AV54" i="15"/>
  <c r="AV192" i="15"/>
  <c r="AV221" i="15"/>
  <c r="AV268" i="15"/>
  <c r="AV102" i="15"/>
  <c r="AV189" i="15"/>
  <c r="AV124" i="15"/>
  <c r="AV168" i="15"/>
  <c r="AV133" i="15"/>
  <c r="AV193" i="15"/>
  <c r="AV220" i="15"/>
  <c r="AV57" i="15"/>
  <c r="AV139" i="15"/>
  <c r="AV208" i="15"/>
  <c r="AV219" i="15"/>
  <c r="AV173" i="15"/>
  <c r="AV76" i="15"/>
  <c r="AV67" i="15"/>
  <c r="AV195" i="15"/>
  <c r="AV137" i="15"/>
  <c r="AV214" i="15"/>
  <c r="AV295" i="15"/>
  <c r="AV28" i="15"/>
  <c r="AV53" i="15"/>
  <c r="AV180" i="15"/>
  <c r="AV130" i="15"/>
  <c r="AV224" i="15"/>
  <c r="AV14" i="15"/>
  <c r="AV191" i="15"/>
  <c r="AV169" i="15"/>
  <c r="AV286" i="15"/>
  <c r="AV44" i="15"/>
  <c r="AV17" i="15"/>
  <c r="AV88" i="15"/>
  <c r="AV125" i="15"/>
  <c r="AV51" i="15"/>
  <c r="AV136" i="15"/>
  <c r="AV207" i="15"/>
  <c r="AV283" i="15"/>
  <c r="AV177" i="15"/>
  <c r="AV254" i="15"/>
  <c r="AV37" i="15"/>
  <c r="AV233" i="15"/>
  <c r="AV212" i="15"/>
  <c r="AV162" i="15"/>
  <c r="AV256" i="15"/>
  <c r="AV46" i="15"/>
  <c r="AV117" i="15"/>
  <c r="AV68" i="15"/>
  <c r="AV18" i="15"/>
  <c r="AV75" i="15"/>
  <c r="AV282" i="15"/>
  <c r="AV89" i="15"/>
  <c r="AV166" i="15"/>
  <c r="AV119" i="15"/>
  <c r="AV266" i="15"/>
  <c r="AV73" i="15"/>
  <c r="AV150" i="15"/>
  <c r="AV77" i="15"/>
  <c r="AV298" i="15"/>
  <c r="AV247" i="15"/>
  <c r="AV116" i="15"/>
  <c r="AV66" i="15"/>
  <c r="AV160" i="15"/>
  <c r="AV85" i="15"/>
  <c r="AV111" i="15"/>
  <c r="AV264" i="15"/>
  <c r="AV127" i="15"/>
  <c r="AV267" i="15"/>
  <c r="AV249" i="15"/>
  <c r="AV24" i="15"/>
  <c r="AV269" i="15"/>
  <c r="AV87" i="15"/>
  <c r="AV246" i="15"/>
  <c r="AV293" i="15"/>
  <c r="AV306" i="15"/>
  <c r="AV113" i="15"/>
  <c r="AV190" i="15"/>
  <c r="AV199" i="15"/>
  <c r="AV148" i="15"/>
  <c r="AV181" i="15"/>
  <c r="AV273" i="15"/>
  <c r="AV9" i="15"/>
  <c r="AV74" i="15"/>
  <c r="AV107" i="15"/>
  <c r="AV163" i="15"/>
  <c r="AV79" i="15"/>
  <c r="AV300" i="15"/>
  <c r="AV35" i="15"/>
  <c r="AV114" i="15"/>
  <c r="AV225" i="15"/>
  <c r="AV274" i="15"/>
  <c r="AV120" i="15"/>
  <c r="AV252" i="15"/>
  <c r="AV202" i="15"/>
  <c r="AV296" i="15"/>
  <c r="AV86" i="15"/>
  <c r="AV261" i="15"/>
  <c r="AV42" i="15"/>
  <c r="AV81" i="15"/>
  <c r="AV52" i="15"/>
  <c r="AV33" i="15"/>
  <c r="AV96" i="15"/>
  <c r="AV147" i="15"/>
  <c r="AV255" i="15"/>
  <c r="AV72" i="15"/>
  <c r="AV99" i="15"/>
  <c r="AW6" i="15"/>
  <c r="AV185" i="15"/>
  <c r="AV262" i="15"/>
  <c r="AV59" i="15"/>
  <c r="AV284" i="15"/>
  <c r="AV213" i="15"/>
  <c r="AV292" i="15"/>
  <c r="AV242" i="15"/>
  <c r="AV49" i="15"/>
  <c r="AV126" i="15"/>
  <c r="AV13" i="15"/>
  <c r="AV205" i="15"/>
  <c r="AV84" i="15"/>
  <c r="AV34" i="15"/>
  <c r="AV128" i="15"/>
  <c r="AV271" i="15"/>
  <c r="AV27" i="15"/>
  <c r="AV187" i="15"/>
  <c r="AV209" i="15"/>
  <c r="AV204" i="15"/>
  <c r="AV154" i="15"/>
  <c r="AV248" i="15"/>
  <c r="AV38" i="15"/>
  <c r="AV95" i="15"/>
  <c r="AV188" i="15"/>
  <c r="AV138" i="15"/>
  <c r="AV232" i="15"/>
  <c r="AV22" i="15"/>
  <c r="AV31" i="15"/>
  <c r="AV105" i="15"/>
  <c r="AV48" i="15"/>
  <c r="AV275" i="15"/>
  <c r="AV257" i="15"/>
  <c r="AV32" i="15"/>
  <c r="AV301" i="15"/>
  <c r="AV109" i="15"/>
  <c r="AV182" i="15"/>
  <c r="AV151" i="15"/>
  <c r="AV155" i="15"/>
  <c r="AV121" i="15"/>
  <c r="AV198" i="15"/>
  <c r="AV231" i="15"/>
  <c r="AV92" i="15"/>
  <c r="AV15" i="15"/>
  <c r="AV228" i="15"/>
  <c r="AV178" i="15"/>
  <c r="AV272" i="15"/>
  <c r="AV62" i="15"/>
  <c r="AV165" i="15"/>
  <c r="AV253" i="15"/>
  <c r="AV20" i="15"/>
  <c r="AV289" i="15"/>
  <c r="AV64" i="15"/>
  <c r="AV61" i="15"/>
  <c r="AV215" i="15"/>
  <c r="AV211" i="15"/>
  <c r="AV304" i="15"/>
  <c r="AV140" i="15"/>
  <c r="AV90" i="15"/>
  <c r="AV184" i="15"/>
  <c r="AV149" i="15"/>
  <c r="AV200" i="15"/>
  <c r="AV270" i="15"/>
  <c r="AV250" i="15"/>
  <c r="AV259" i="15"/>
  <c r="AV245" i="15"/>
  <c r="AV112" i="15"/>
  <c r="AV159" i="15"/>
  <c r="AV26" i="15"/>
  <c r="AV239" i="15"/>
  <c r="AY29" i="15" l="1"/>
  <c r="AW39" i="15"/>
  <c r="AW109" i="15"/>
  <c r="AX183" i="15"/>
  <c r="AW247" i="15"/>
  <c r="AY255" i="15"/>
  <c r="AY67" i="15"/>
  <c r="AW47" i="15"/>
  <c r="AY111" i="15"/>
  <c r="AY189" i="15"/>
  <c r="AW253" i="15"/>
  <c r="AY191" i="15"/>
  <c r="AX95" i="15"/>
  <c r="AW139" i="15"/>
  <c r="AX229" i="15"/>
  <c r="AX7" i="15"/>
  <c r="AX53" i="15"/>
  <c r="AY55" i="15"/>
  <c r="AX119" i="15"/>
  <c r="AW167" i="15"/>
  <c r="AY263" i="15"/>
  <c r="AX287" i="15"/>
  <c r="AW15" i="15"/>
  <c r="AY79" i="15"/>
  <c r="AX143" i="15"/>
  <c r="AW205" i="15"/>
  <c r="AX301" i="15"/>
  <c r="AX223" i="15"/>
  <c r="AW83" i="15"/>
  <c r="AX147" i="15"/>
  <c r="AX239" i="15"/>
  <c r="AX21" i="15"/>
  <c r="AW85" i="15"/>
  <c r="AY149" i="15"/>
  <c r="AW213" i="15"/>
  <c r="AW14" i="15"/>
  <c r="AX38" i="15"/>
  <c r="AW54" i="15"/>
  <c r="AW78" i="15"/>
  <c r="AX102" i="15"/>
  <c r="AW118" i="15"/>
  <c r="AW142" i="15"/>
  <c r="AX166" i="15"/>
  <c r="AW182" i="15"/>
  <c r="AW206" i="15"/>
  <c r="AX230" i="15"/>
  <c r="AW246" i="15"/>
  <c r="AY270" i="15"/>
  <c r="AX294" i="15"/>
  <c r="AW8" i="15"/>
  <c r="AY32" i="15"/>
  <c r="AX56" i="15"/>
  <c r="AW72" i="15"/>
  <c r="AY96" i="15"/>
  <c r="AX120" i="15"/>
  <c r="AW136" i="15"/>
  <c r="AY160" i="15"/>
  <c r="AX184" i="15"/>
  <c r="AW200" i="15"/>
  <c r="AY224" i="15"/>
  <c r="AX248" i="15"/>
  <c r="AW264" i="15"/>
  <c r="AY288" i="15"/>
  <c r="AY9" i="15"/>
  <c r="AW41" i="15"/>
  <c r="AW65" i="15"/>
  <c r="AY89" i="15"/>
  <c r="AX105" i="15"/>
  <c r="AX129" i="15"/>
  <c r="AY153" i="15"/>
  <c r="AX169" i="15"/>
  <c r="AX193" i="15"/>
  <c r="AX217" i="15"/>
  <c r="AW233" i="15"/>
  <c r="AY257" i="15"/>
  <c r="AX281" i="15"/>
  <c r="AW297" i="15"/>
  <c r="AW33" i="15"/>
  <c r="AY26" i="15"/>
  <c r="AW42" i="15"/>
  <c r="AX66" i="15"/>
  <c r="AY90" i="15"/>
  <c r="AW106" i="15"/>
  <c r="AX130" i="15"/>
  <c r="AY154" i="15"/>
  <c r="AW170" i="15"/>
  <c r="AX194" i="15"/>
  <c r="AY218" i="15"/>
  <c r="AW234" i="15"/>
  <c r="AW258" i="15"/>
  <c r="AY282" i="15"/>
  <c r="AX298" i="15"/>
  <c r="AX171" i="15"/>
  <c r="AY227" i="15"/>
  <c r="AX259" i="15"/>
  <c r="AX179" i="15"/>
  <c r="AY219" i="15"/>
  <c r="AX251" i="15"/>
  <c r="AW291" i="15"/>
  <c r="AY20" i="15"/>
  <c r="AX36" i="15"/>
  <c r="AX60" i="15"/>
  <c r="AY84" i="15"/>
  <c r="AW100" i="15"/>
  <c r="AX124" i="15"/>
  <c r="AY148" i="15"/>
  <c r="AW164" i="15"/>
  <c r="AX188" i="15"/>
  <c r="AY212" i="15"/>
  <c r="AW228" i="15"/>
  <c r="AW252" i="15"/>
  <c r="AY276" i="15"/>
  <c r="AX292" i="15"/>
  <c r="AX236" i="15"/>
  <c r="AW300" i="15"/>
  <c r="AX23" i="15"/>
  <c r="AW221" i="15"/>
  <c r="AY75" i="15"/>
  <c r="AW141" i="15"/>
  <c r="AX269" i="15"/>
  <c r="AY63" i="15"/>
  <c r="AX94" i="15"/>
  <c r="AW238" i="15"/>
  <c r="AY88" i="15"/>
  <c r="AX240" i="15"/>
  <c r="AW97" i="15"/>
  <c r="AW225" i="15"/>
  <c r="AX29" i="15"/>
  <c r="AY45" i="15"/>
  <c r="AX109" i="15"/>
  <c r="AY183" i="15"/>
  <c r="AX279" i="15"/>
  <c r="AW255" i="15"/>
  <c r="AX67" i="15"/>
  <c r="AY69" i="15"/>
  <c r="AW111" i="15"/>
  <c r="AW189" i="15"/>
  <c r="AY285" i="15"/>
  <c r="AW191" i="15"/>
  <c r="AY95" i="15"/>
  <c r="AY165" i="15"/>
  <c r="AW229" i="15"/>
  <c r="AY7" i="15"/>
  <c r="AY13" i="15"/>
  <c r="AW55" i="15"/>
  <c r="AY119" i="15"/>
  <c r="AX199" i="15"/>
  <c r="AW263" i="15"/>
  <c r="AY287" i="15"/>
  <c r="AY37" i="15"/>
  <c r="AW79" i="15"/>
  <c r="AY143" i="15"/>
  <c r="AY237" i="15"/>
  <c r="AW301" i="15"/>
  <c r="AY223" i="15"/>
  <c r="AX103" i="15"/>
  <c r="AW147" i="15"/>
  <c r="AY239" i="15"/>
  <c r="AY43" i="15"/>
  <c r="AX85" i="15"/>
  <c r="AW149" i="15"/>
  <c r="AY245" i="15"/>
  <c r="AY14" i="15"/>
  <c r="AW38" i="15"/>
  <c r="AX62" i="15"/>
  <c r="AY78" i="15"/>
  <c r="AW102" i="15"/>
  <c r="AX126" i="15"/>
  <c r="AY142" i="15"/>
  <c r="AW166" i="15"/>
  <c r="AX190" i="15"/>
  <c r="AY206" i="15"/>
  <c r="AW230" i="15"/>
  <c r="AX254" i="15"/>
  <c r="AW270" i="15"/>
  <c r="AY294" i="15"/>
  <c r="AX16" i="15"/>
  <c r="AW32" i="15"/>
  <c r="AY56" i="15"/>
  <c r="AX80" i="15"/>
  <c r="AW96" i="15"/>
  <c r="AY120" i="15"/>
  <c r="AX144" i="15"/>
  <c r="AW160" i="15"/>
  <c r="AY184" i="15"/>
  <c r="AX208" i="15"/>
  <c r="AW224" i="15"/>
  <c r="AY248" i="15"/>
  <c r="AX272" i="15"/>
  <c r="AW288" i="15"/>
  <c r="AX9" i="15"/>
  <c r="AY49" i="15"/>
  <c r="AX65" i="15"/>
  <c r="AX89" i="15"/>
  <c r="AY113" i="15"/>
  <c r="AW129" i="15"/>
  <c r="AX153" i="15"/>
  <c r="AY177" i="15"/>
  <c r="AW193" i="15"/>
  <c r="AY217" i="15"/>
  <c r="AX241" i="15"/>
  <c r="AW257" i="15"/>
  <c r="AY281" i="15"/>
  <c r="AX305" i="15"/>
  <c r="AX33" i="15"/>
  <c r="AX26" i="15"/>
  <c r="AY50" i="15"/>
  <c r="AW66" i="15"/>
  <c r="AX90" i="15"/>
  <c r="AY114" i="15"/>
  <c r="AW130" i="15"/>
  <c r="AX154" i="15"/>
  <c r="AY178" i="15"/>
  <c r="AW194" i="15"/>
  <c r="AX218" i="15"/>
  <c r="AY242" i="15"/>
  <c r="AX258" i="15"/>
  <c r="AW282" i="15"/>
  <c r="AY306" i="15"/>
  <c r="AW171" i="15"/>
  <c r="AX227" i="15"/>
  <c r="AY283" i="15"/>
  <c r="AW179" i="15"/>
  <c r="AX219" i="15"/>
  <c r="AY267" i="15"/>
  <c r="AX291" i="15"/>
  <c r="AW20" i="15"/>
  <c r="AY44" i="15"/>
  <c r="AW60" i="15"/>
  <c r="AX84" i="15"/>
  <c r="AY108" i="15"/>
  <c r="AW124" i="15"/>
  <c r="AX148" i="15"/>
  <c r="AY172" i="15"/>
  <c r="AW188" i="15"/>
  <c r="AX212" i="15"/>
  <c r="AY236" i="15"/>
  <c r="AX252" i="15"/>
  <c r="AW276" i="15"/>
  <c r="AY300" i="15"/>
  <c r="AW212" i="15"/>
  <c r="AW215" i="15"/>
  <c r="AX91" i="15"/>
  <c r="AY293" i="15"/>
  <c r="AY231" i="15"/>
  <c r="AY93" i="15"/>
  <c r="AW181" i="15"/>
  <c r="AX158" i="15"/>
  <c r="AW302" i="15"/>
  <c r="AY152" i="15"/>
  <c r="AW25" i="15"/>
  <c r="AX185" i="15"/>
  <c r="AY18" i="15"/>
  <c r="AW29" i="15"/>
  <c r="AX45" i="15"/>
  <c r="AY131" i="15"/>
  <c r="AW183" i="15"/>
  <c r="AY279" i="15"/>
  <c r="AY19" i="15"/>
  <c r="AW67" i="15"/>
  <c r="AW69" i="15"/>
  <c r="AY133" i="15"/>
  <c r="AX189" i="15"/>
  <c r="AX285" i="15"/>
  <c r="AX31" i="15"/>
  <c r="AW95" i="15"/>
  <c r="AX165" i="15"/>
  <c r="AY261" i="15"/>
  <c r="AW7" i="15"/>
  <c r="AX13" i="15"/>
  <c r="AY77" i="15"/>
  <c r="AW119" i="15"/>
  <c r="AY199" i="15"/>
  <c r="AX295" i="15"/>
  <c r="AW287" i="15"/>
  <c r="AW37" i="15"/>
  <c r="AY101" i="15"/>
  <c r="AW143" i="15"/>
  <c r="AX237" i="15"/>
  <c r="AX303" i="15"/>
  <c r="AW223" i="15"/>
  <c r="AY103" i="15"/>
  <c r="AX175" i="15"/>
  <c r="AW239" i="15"/>
  <c r="AX43" i="15"/>
  <c r="AY107" i="15"/>
  <c r="AX149" i="15"/>
  <c r="AX245" i="15"/>
  <c r="AX22" i="15"/>
  <c r="AY38" i="15"/>
  <c r="AW62" i="15"/>
  <c r="AX86" i="15"/>
  <c r="AY102" i="15"/>
  <c r="AW126" i="15"/>
  <c r="AX150" i="15"/>
  <c r="AY166" i="15"/>
  <c r="AW190" i="15"/>
  <c r="AX214" i="15"/>
  <c r="AY230" i="15"/>
  <c r="AW254" i="15"/>
  <c r="AX278" i="15"/>
  <c r="AW294" i="15"/>
  <c r="AY16" i="15"/>
  <c r="AX40" i="15"/>
  <c r="AW56" i="15"/>
  <c r="AY80" i="15"/>
  <c r="AX104" i="15"/>
  <c r="AW120" i="15"/>
  <c r="AY144" i="15"/>
  <c r="AX168" i="15"/>
  <c r="AW184" i="15"/>
  <c r="AY208" i="15"/>
  <c r="AX232" i="15"/>
  <c r="AW248" i="15"/>
  <c r="AY272" i="15"/>
  <c r="AX296" i="15"/>
  <c r="AW9" i="15"/>
  <c r="AW49" i="15"/>
  <c r="AY73" i="15"/>
  <c r="AW89" i="15"/>
  <c r="AX113" i="15"/>
  <c r="AY137" i="15"/>
  <c r="AW153" i="15"/>
  <c r="AX177" i="15"/>
  <c r="AX201" i="15"/>
  <c r="AW217" i="15"/>
  <c r="AY241" i="15"/>
  <c r="AX265" i="15"/>
  <c r="AW281" i="15"/>
  <c r="AY305" i="15"/>
  <c r="AY10" i="15"/>
  <c r="AW26" i="15"/>
  <c r="AX50" i="15"/>
  <c r="AY74" i="15"/>
  <c r="AW90" i="15"/>
  <c r="AX114" i="15"/>
  <c r="AY138" i="15"/>
  <c r="AW154" i="15"/>
  <c r="AX178" i="15"/>
  <c r="AY202" i="15"/>
  <c r="AW218" i="15"/>
  <c r="AX242" i="15"/>
  <c r="AY266" i="15"/>
  <c r="AX282" i="15"/>
  <c r="AW306" i="15"/>
  <c r="AY195" i="15"/>
  <c r="AW227" i="15"/>
  <c r="AW283" i="15"/>
  <c r="AY187" i="15"/>
  <c r="AW219" i="15"/>
  <c r="AW267" i="15"/>
  <c r="AY299" i="15"/>
  <c r="AX20" i="15"/>
  <c r="AX44" i="15"/>
  <c r="AY68" i="15"/>
  <c r="AW84" i="15"/>
  <c r="AX108" i="15"/>
  <c r="AY132" i="15"/>
  <c r="AW148" i="15"/>
  <c r="AX172" i="15"/>
  <c r="AY196" i="15"/>
  <c r="AX276" i="15"/>
  <c r="AX51" i="15"/>
  <c r="AW117" i="15"/>
  <c r="AY115" i="15"/>
  <c r="AW61" i="15"/>
  <c r="AX277" i="15"/>
  <c r="AW134" i="15"/>
  <c r="AX286" i="15"/>
  <c r="AW128" i="15"/>
  <c r="AY280" i="15"/>
  <c r="AW161" i="15"/>
  <c r="AW17" i="15"/>
  <c r="AX159" i="15"/>
  <c r="AW45" i="15"/>
  <c r="AX131" i="15"/>
  <c r="AX215" i="15"/>
  <c r="AW279" i="15"/>
  <c r="AX19" i="15"/>
  <c r="AY27" i="15"/>
  <c r="AX69" i="15"/>
  <c r="AW133" i="15"/>
  <c r="AY221" i="15"/>
  <c r="AW285" i="15"/>
  <c r="AY31" i="15"/>
  <c r="AY117" i="15"/>
  <c r="AW165" i="15"/>
  <c r="AX261" i="15"/>
  <c r="AX135" i="15"/>
  <c r="AW13" i="15"/>
  <c r="AX77" i="15"/>
  <c r="AY141" i="15"/>
  <c r="AW199" i="15"/>
  <c r="AY295" i="15"/>
  <c r="AY11" i="15"/>
  <c r="AX37" i="15"/>
  <c r="AX101" i="15"/>
  <c r="AY173" i="15"/>
  <c r="AW237" i="15"/>
  <c r="AY303" i="15"/>
  <c r="AY61" i="15"/>
  <c r="AW103" i="15"/>
  <c r="AY175" i="15"/>
  <c r="AX271" i="15"/>
  <c r="AW43" i="15"/>
  <c r="AX107" i="15"/>
  <c r="AY181" i="15"/>
  <c r="AW245" i="15"/>
  <c r="AW22" i="15"/>
  <c r="AX46" i="15"/>
  <c r="AY62" i="15"/>
  <c r="AW86" i="15"/>
  <c r="AX110" i="15"/>
  <c r="AY126" i="15"/>
  <c r="AW150" i="15"/>
  <c r="AX174" i="15"/>
  <c r="AY190" i="15"/>
  <c r="AW214" i="15"/>
  <c r="AX238" i="15"/>
  <c r="AY254" i="15"/>
  <c r="AW278" i="15"/>
  <c r="AX302" i="15"/>
  <c r="AW16" i="15"/>
  <c r="AY40" i="15"/>
  <c r="AX64" i="15"/>
  <c r="AW80" i="15"/>
  <c r="AY104" i="15"/>
  <c r="AX128" i="15"/>
  <c r="AW144" i="15"/>
  <c r="AY168" i="15"/>
  <c r="AX192" i="15"/>
  <c r="AW208" i="15"/>
  <c r="AY232" i="15"/>
  <c r="AX256" i="15"/>
  <c r="AW272" i="15"/>
  <c r="AY296" i="15"/>
  <c r="AY25" i="15"/>
  <c r="AX49" i="15"/>
  <c r="AX73" i="15"/>
  <c r="AY97" i="15"/>
  <c r="AW113" i="15"/>
  <c r="AX137" i="15"/>
  <c r="AY161" i="15"/>
  <c r="AW177" i="15"/>
  <c r="AY201" i="15"/>
  <c r="AX225" i="15"/>
  <c r="AW241" i="15"/>
  <c r="AY265" i="15"/>
  <c r="AX289" i="15"/>
  <c r="AW305" i="15"/>
  <c r="AX10" i="15"/>
  <c r="AY34" i="15"/>
  <c r="AW50" i="15"/>
  <c r="AX74" i="15"/>
  <c r="AY98" i="15"/>
  <c r="AW114" i="15"/>
  <c r="AX138" i="15"/>
  <c r="AY162" i="15"/>
  <c r="AW178" i="15"/>
  <c r="AX202" i="15"/>
  <c r="AY226" i="15"/>
  <c r="AW242" i="15"/>
  <c r="AW266" i="15"/>
  <c r="AY290" i="15"/>
  <c r="AX306" i="15"/>
  <c r="AX195" i="15"/>
  <c r="AY243" i="15"/>
  <c r="AX283" i="15"/>
  <c r="AX187" i="15"/>
  <c r="AY235" i="15"/>
  <c r="AX267" i="15"/>
  <c r="AW299" i="15"/>
  <c r="AY28" i="15"/>
  <c r="AW44" i="15"/>
  <c r="AW68" i="15"/>
  <c r="AY92" i="15"/>
  <c r="AW108" i="15"/>
  <c r="AX132" i="15"/>
  <c r="AY156" i="15"/>
  <c r="AW172" i="15"/>
  <c r="AX196" i="15"/>
  <c r="AY220" i="15"/>
  <c r="AW236" i="15"/>
  <c r="AW260" i="15"/>
  <c r="AY284" i="15"/>
  <c r="AX300" i="15"/>
  <c r="AY87" i="15"/>
  <c r="AW197" i="15"/>
  <c r="AW11" i="15"/>
  <c r="AW125" i="15"/>
  <c r="AX30" i="15"/>
  <c r="AW174" i="15"/>
  <c r="AX48" i="15"/>
  <c r="AW192" i="15"/>
  <c r="AY81" i="15"/>
  <c r="AY249" i="15"/>
  <c r="AW34" i="15"/>
  <c r="AY159" i="15"/>
  <c r="AX87" i="15"/>
  <c r="AW131" i="15"/>
  <c r="AY215" i="15"/>
  <c r="AY51" i="15"/>
  <c r="AW19" i="15"/>
  <c r="AX27" i="15"/>
  <c r="AY91" i="15"/>
  <c r="AX133" i="15"/>
  <c r="AX221" i="15"/>
  <c r="AX71" i="15"/>
  <c r="AW31" i="15"/>
  <c r="AX117" i="15"/>
  <c r="AY197" i="15"/>
  <c r="AW261" i="15"/>
  <c r="AY135" i="15"/>
  <c r="AY35" i="15"/>
  <c r="AW77" i="15"/>
  <c r="AX141" i="15"/>
  <c r="AX231" i="15"/>
  <c r="AW295" i="15"/>
  <c r="AX11" i="15"/>
  <c r="AY59" i="15"/>
  <c r="AW101" i="15"/>
  <c r="AW173" i="15"/>
  <c r="AY269" i="15"/>
  <c r="AW303" i="15"/>
  <c r="AX61" i="15"/>
  <c r="AY125" i="15"/>
  <c r="AW175" i="15"/>
  <c r="AY271" i="15"/>
  <c r="AX63" i="15"/>
  <c r="AW107" i="15"/>
  <c r="AX181" i="15"/>
  <c r="AY277" i="15"/>
  <c r="AY22" i="15"/>
  <c r="AY46" i="15"/>
  <c r="AX70" i="15"/>
  <c r="AY86" i="15"/>
  <c r="AY110" i="15"/>
  <c r="AX134" i="15"/>
  <c r="AY150" i="15"/>
  <c r="AY174" i="15"/>
  <c r="AX198" i="15"/>
  <c r="AY214" i="15"/>
  <c r="AY238" i="15"/>
  <c r="AX262" i="15"/>
  <c r="AY278" i="15"/>
  <c r="AY302" i="15"/>
  <c r="AX24" i="15"/>
  <c r="AW40" i="15"/>
  <c r="AY64" i="15"/>
  <c r="AX88" i="15"/>
  <c r="AW104" i="15"/>
  <c r="AY128" i="15"/>
  <c r="AX152" i="15"/>
  <c r="AW168" i="15"/>
  <c r="AY192" i="15"/>
  <c r="AX216" i="15"/>
  <c r="AW232" i="15"/>
  <c r="AY256" i="15"/>
  <c r="AX280" i="15"/>
  <c r="AW296" i="15"/>
  <c r="AX25" i="15"/>
  <c r="AY57" i="15"/>
  <c r="AW73" i="15"/>
  <c r="AX97" i="15"/>
  <c r="AY121" i="15"/>
  <c r="AW137" i="15"/>
  <c r="AX161" i="15"/>
  <c r="AY185" i="15"/>
  <c r="AW201" i="15"/>
  <c r="AY225" i="15"/>
  <c r="AX249" i="15"/>
  <c r="AW265" i="15"/>
  <c r="AY289" i="15"/>
  <c r="AY17" i="15"/>
  <c r="AW10" i="15"/>
  <c r="AX34" i="15"/>
  <c r="AY58" i="15"/>
  <c r="AW74" i="15"/>
  <c r="AX98" i="15"/>
  <c r="AY122" i="15"/>
  <c r="AW138" i="15"/>
  <c r="AX162" i="15"/>
  <c r="AY186" i="15"/>
  <c r="AW202" i="15"/>
  <c r="AX226" i="15"/>
  <c r="AY250" i="15"/>
  <c r="AX266" i="15"/>
  <c r="AW290" i="15"/>
  <c r="AY155" i="15"/>
  <c r="AW195" i="15"/>
  <c r="AX243" i="15"/>
  <c r="AY163" i="15"/>
  <c r="AW187" i="15"/>
  <c r="AX235" i="15"/>
  <c r="AY275" i="15"/>
  <c r="AX299" i="15"/>
  <c r="AX28" i="15"/>
  <c r="AY52" i="15"/>
  <c r="AX68" i="15"/>
  <c r="AX92" i="15"/>
  <c r="AY116" i="15"/>
  <c r="AW132" i="15"/>
  <c r="AX156" i="15"/>
  <c r="AY180" i="15"/>
  <c r="AW196" i="15"/>
  <c r="AX220" i="15"/>
  <c r="AY244" i="15"/>
  <c r="AX260" i="15"/>
  <c r="AW284" i="15"/>
  <c r="AW159" i="15"/>
  <c r="AY157" i="15"/>
  <c r="AW135" i="15"/>
  <c r="AX59" i="15"/>
  <c r="AX207" i="15"/>
  <c r="AW46" i="15"/>
  <c r="AW198" i="15"/>
  <c r="AY24" i="15"/>
  <c r="AX176" i="15"/>
  <c r="AX304" i="15"/>
  <c r="AY145" i="15"/>
  <c r="AW289" i="15"/>
  <c r="AX39" i="15"/>
  <c r="AW87" i="15"/>
  <c r="AY151" i="15"/>
  <c r="AX247" i="15"/>
  <c r="AW51" i="15"/>
  <c r="AY23" i="15"/>
  <c r="AX47" i="15"/>
  <c r="AW91" i="15"/>
  <c r="AW157" i="15"/>
  <c r="AY253" i="15"/>
  <c r="AW71" i="15"/>
  <c r="AX75" i="15"/>
  <c r="AY139" i="15"/>
  <c r="AX197" i="15"/>
  <c r="AX293" i="15"/>
  <c r="AY53" i="15"/>
  <c r="AW35" i="15"/>
  <c r="AX99" i="15"/>
  <c r="AX167" i="15"/>
  <c r="AW231" i="15"/>
  <c r="AX115" i="15"/>
  <c r="AX15" i="15"/>
  <c r="AW59" i="15"/>
  <c r="AX123" i="15"/>
  <c r="AY205" i="15"/>
  <c r="AW269" i="15"/>
  <c r="AW93" i="15"/>
  <c r="AY83" i="15"/>
  <c r="AX125" i="15"/>
  <c r="AY207" i="15"/>
  <c r="AY21" i="15"/>
  <c r="AW63" i="15"/>
  <c r="AY127" i="15"/>
  <c r="AY213" i="15"/>
  <c r="AW277" i="15"/>
  <c r="AW30" i="15"/>
  <c r="AX54" i="15"/>
  <c r="AY70" i="15"/>
  <c r="AW94" i="15"/>
  <c r="AX118" i="15"/>
  <c r="AY134" i="15"/>
  <c r="AW158" i="15"/>
  <c r="AX182" i="15"/>
  <c r="AY198" i="15"/>
  <c r="AW222" i="15"/>
  <c r="AX246" i="15"/>
  <c r="AY262" i="15"/>
  <c r="AY286" i="15"/>
  <c r="AX8" i="15"/>
  <c r="AW24" i="15"/>
  <c r="AY48" i="15"/>
  <c r="AX72" i="15"/>
  <c r="AW88" i="15"/>
  <c r="AY112" i="15"/>
  <c r="AX136" i="15"/>
  <c r="AW152" i="15"/>
  <c r="AY176" i="15"/>
  <c r="AX200" i="15"/>
  <c r="AW216" i="15"/>
  <c r="AY240" i="15"/>
  <c r="AX264" i="15"/>
  <c r="AW280" i="15"/>
  <c r="AY304" i="15"/>
  <c r="AY41" i="15"/>
  <c r="AW57" i="15"/>
  <c r="AX81" i="15"/>
  <c r="AY105" i="15"/>
  <c r="AW121" i="15"/>
  <c r="AX145" i="15"/>
  <c r="AY169" i="15"/>
  <c r="AW185" i="15"/>
  <c r="AY209" i="15"/>
  <c r="AX233" i="15"/>
  <c r="AW249" i="15"/>
  <c r="AY273" i="15"/>
  <c r="AX297" i="15"/>
  <c r="AX17" i="15"/>
  <c r="AX18" i="15"/>
  <c r="AY42" i="15"/>
  <c r="AW58" i="15"/>
  <c r="AX82" i="15"/>
  <c r="AY106" i="15"/>
  <c r="AW122" i="15"/>
  <c r="AX146" i="15"/>
  <c r="AY170" i="15"/>
  <c r="AW186" i="15"/>
  <c r="AX210" i="15"/>
  <c r="AY234" i="15"/>
  <c r="AX250" i="15"/>
  <c r="AW274" i="15"/>
  <c r="AY298" i="15"/>
  <c r="AW155" i="15"/>
  <c r="AX211" i="15"/>
  <c r="AY259" i="15"/>
  <c r="AW163" i="15"/>
  <c r="AX203" i="15"/>
  <c r="AY251" i="15"/>
  <c r="AX275" i="15"/>
  <c r="AX12" i="15"/>
  <c r="AY36" i="15"/>
  <c r="AW52" i="15"/>
  <c r="AX76" i="15"/>
  <c r="AY100" i="15"/>
  <c r="AW116" i="15"/>
  <c r="AX140" i="15"/>
  <c r="AY164" i="15"/>
  <c r="AW180" i="15"/>
  <c r="AX204" i="15"/>
  <c r="AY228" i="15"/>
  <c r="AW244" i="15"/>
  <c r="AW268" i="15"/>
  <c r="AY292" i="15"/>
  <c r="AW27" i="15"/>
  <c r="AX35" i="15"/>
  <c r="AY123" i="15"/>
  <c r="AX127" i="15"/>
  <c r="AW110" i="15"/>
  <c r="AW262" i="15"/>
  <c r="AX112" i="15"/>
  <c r="AW256" i="15"/>
  <c r="AX121" i="15"/>
  <c r="AX273" i="15"/>
  <c r="AY39" i="15"/>
  <c r="AY109" i="15"/>
  <c r="AW151" i="15"/>
  <c r="AY247" i="15"/>
  <c r="AX255" i="15"/>
  <c r="AW23" i="15"/>
  <c r="AY47" i="15"/>
  <c r="AX111" i="15"/>
  <c r="AX157" i="15"/>
  <c r="AX253" i="15"/>
  <c r="AX191" i="15"/>
  <c r="AW75" i="15"/>
  <c r="AX139" i="15"/>
  <c r="AY229" i="15"/>
  <c r="AW293" i="15"/>
  <c r="AW53" i="15"/>
  <c r="AX55" i="15"/>
  <c r="AW99" i="15"/>
  <c r="AY167" i="15"/>
  <c r="AX263" i="15"/>
  <c r="AW115" i="15"/>
  <c r="AY15" i="15"/>
  <c r="AX79" i="15"/>
  <c r="AW123" i="15"/>
  <c r="AX205" i="15"/>
  <c r="AY301" i="15"/>
  <c r="AX93" i="15"/>
  <c r="AX83" i="15"/>
  <c r="AY147" i="15"/>
  <c r="AW207" i="15"/>
  <c r="AW21" i="15"/>
  <c r="AY85" i="15"/>
  <c r="AW127" i="15"/>
  <c r="AX213" i="15"/>
  <c r="AX14" i="15"/>
  <c r="AY30" i="15"/>
  <c r="AY54" i="15"/>
  <c r="AX78" i="15"/>
  <c r="AY94" i="15"/>
  <c r="AY118" i="15"/>
  <c r="AX142" i="15"/>
  <c r="AY158" i="15"/>
  <c r="AY182" i="15"/>
  <c r="AX206" i="15"/>
  <c r="AY222" i="15"/>
  <c r="AY246" i="15"/>
  <c r="AX270" i="15"/>
  <c r="AW286" i="15"/>
  <c r="AY8" i="15"/>
  <c r="AX32" i="15"/>
  <c r="AW48" i="15"/>
  <c r="AY72" i="15"/>
  <c r="AX96" i="15"/>
  <c r="AW112" i="15"/>
  <c r="AY136" i="15"/>
  <c r="AX160" i="15"/>
  <c r="AW176" i="15"/>
  <c r="AY200" i="15"/>
  <c r="AX224" i="15"/>
  <c r="AW240" i="15"/>
  <c r="AY264" i="15"/>
  <c r="AX288" i="15"/>
  <c r="AW304" i="15"/>
  <c r="AX41" i="15"/>
  <c r="AY65" i="15"/>
  <c r="AW81" i="15"/>
  <c r="AW105" i="15"/>
  <c r="AY129" i="15"/>
  <c r="AW145" i="15"/>
  <c r="AW169" i="15"/>
  <c r="AY193" i="15"/>
  <c r="AW209" i="15"/>
  <c r="AY233" i="15"/>
  <c r="AX257" i="15"/>
  <c r="AW273" i="15"/>
  <c r="AY297" i="15"/>
  <c r="AY33" i="15"/>
  <c r="AW18" i="15"/>
  <c r="AX42" i="15"/>
  <c r="AY66" i="15"/>
  <c r="AW82" i="15"/>
  <c r="AX106" i="15"/>
  <c r="AY130" i="15"/>
  <c r="AW146" i="15"/>
  <c r="AX170" i="15"/>
  <c r="AY194" i="15"/>
  <c r="AW210" i="15"/>
  <c r="AX234" i="15"/>
  <c r="AY258" i="15"/>
  <c r="AX274" i="15"/>
  <c r="AW298" i="15"/>
  <c r="AY171" i="15"/>
  <c r="AW211" i="15"/>
  <c r="AW259" i="15"/>
  <c r="AY179" i="15"/>
  <c r="AW203" i="15"/>
  <c r="AW251" i="15"/>
  <c r="AY291" i="15"/>
  <c r="AW12" i="15"/>
  <c r="AW36" i="15"/>
  <c r="AY60" i="15"/>
  <c r="AW76" i="15"/>
  <c r="AX100" i="15"/>
  <c r="AY124" i="15"/>
  <c r="AW140" i="15"/>
  <c r="AX164" i="15"/>
  <c r="AY188" i="15"/>
  <c r="AW204" i="15"/>
  <c r="AX228" i="15"/>
  <c r="AY252" i="15"/>
  <c r="AX268" i="15"/>
  <c r="AW292" i="15"/>
  <c r="AY260" i="15"/>
  <c r="AX151" i="15"/>
  <c r="AY71" i="15"/>
  <c r="AY99" i="15"/>
  <c r="AX173" i="15"/>
  <c r="AW271" i="15"/>
  <c r="AW70" i="15"/>
  <c r="AX222" i="15"/>
  <c r="AW64" i="15"/>
  <c r="AY216" i="15"/>
  <c r="AX57" i="15"/>
  <c r="AX209" i="15"/>
  <c r="AX58" i="15"/>
  <c r="AY82" i="15"/>
  <c r="AW250" i="15"/>
  <c r="AW235" i="15"/>
  <c r="AY140" i="15"/>
  <c r="AW156" i="15"/>
  <c r="AX180" i="15"/>
  <c r="AW28" i="15"/>
  <c r="AY76" i="15"/>
  <c r="AX163" i="15"/>
  <c r="AX116" i="15"/>
  <c r="AW98" i="15"/>
  <c r="AY274" i="15"/>
  <c r="AW275" i="15"/>
  <c r="AX155" i="15"/>
  <c r="AY204" i="15"/>
  <c r="AX244" i="15"/>
  <c r="AY268" i="15"/>
  <c r="AX122" i="15"/>
  <c r="AX290" i="15"/>
  <c r="AY12" i="15"/>
  <c r="AX186" i="15"/>
  <c r="AY203" i="15"/>
  <c r="AX284" i="15"/>
  <c r="AY146" i="15"/>
  <c r="AW162" i="15"/>
  <c r="AY211" i="15"/>
  <c r="AX52" i="15"/>
  <c r="AW220" i="15"/>
  <c r="AW243" i="15"/>
  <c r="AW92" i="15"/>
  <c r="AY210" i="15"/>
  <c r="AW226" i="15"/>
  <c r="AV4" i="15"/>
</calcChain>
</file>

<file path=xl/sharedStrings.xml><?xml version="1.0" encoding="utf-8"?>
<sst xmlns="http://schemas.openxmlformats.org/spreadsheetml/2006/main" count="66" uniqueCount="62">
  <si>
    <t>Prepared by Andrew McSween</t>
  </si>
  <si>
    <t>Instructions</t>
  </si>
  <si>
    <t>Last</t>
  </si>
  <si>
    <t>Bid</t>
  </si>
  <si>
    <t>Ask</t>
  </si>
  <si>
    <t>Single Stock Analysis</t>
  </si>
  <si>
    <t>Symbol</t>
  </si>
  <si>
    <t>Open</t>
  </si>
  <si>
    <t>High</t>
  </si>
  <si>
    <t>Low</t>
  </si>
  <si>
    <t>Volume</t>
  </si>
  <si>
    <t>Dividend</t>
  </si>
  <si>
    <t>Annual Dividend</t>
  </si>
  <si>
    <t>Dividend Interval</t>
  </si>
  <si>
    <t>Dividend Yield</t>
  </si>
  <si>
    <t>Dividend Date</t>
  </si>
  <si>
    <t>Change</t>
  </si>
  <si>
    <t>12Mo % Return</t>
  </si>
  <si>
    <t>12Mo %Tot Return</t>
  </si>
  <si>
    <t>12Mo Div Pd</t>
  </si>
  <si>
    <t>52Wk High</t>
  </si>
  <si>
    <t>52Wk Low</t>
  </si>
  <si>
    <t>BETA</t>
  </si>
  <si>
    <t>Book Value per Share</t>
  </si>
  <si>
    <t>Current Ratio</t>
  </si>
  <si>
    <t>EBITDA (TTM)</t>
  </si>
  <si>
    <t>EPS, Current FY</t>
  </si>
  <si>
    <t>EPS, Next FY</t>
  </si>
  <si>
    <t>EPS, Next Two FY</t>
  </si>
  <si>
    <t>EPS, PrevQ</t>
  </si>
  <si>
    <t>EPS, PrevQDt</t>
  </si>
  <si>
    <t>Float</t>
  </si>
  <si>
    <t>Forward P/E Current Fiscal Year</t>
  </si>
  <si>
    <t>Forward P/E Next Fiscal Year</t>
  </si>
  <si>
    <t>Forward P/E Next Two Fiscal Year</t>
  </si>
  <si>
    <t>Industry</t>
  </si>
  <si>
    <t>Market Cap</t>
  </si>
  <si>
    <t>Payout Ratio</t>
  </si>
  <si>
    <t>Price to Book</t>
  </si>
  <si>
    <t>Quick Ratio</t>
  </si>
  <si>
    <t>ROA (TTM)</t>
  </si>
  <si>
    <t>ROE (TTM)</t>
  </si>
  <si>
    <t>Shares</t>
  </si>
  <si>
    <t>Short Int Ratio</t>
  </si>
  <si>
    <t>Tot D/E (TTM)</t>
  </si>
  <si>
    <t>Enter the Ticker into cell H3, marked in light blue, to pull in pricing, fundmental, and historical data for the selected security.</t>
  </si>
  <si>
    <t>OpenInt</t>
  </si>
  <si>
    <t>ICE</t>
  </si>
  <si>
    <t>EPS, Next FY Date</t>
  </si>
  <si>
    <t>EPS, Next Qtr Date</t>
  </si>
  <si>
    <t>EPS, Exp Next Qtr</t>
  </si>
  <si>
    <t>Shares Outstanding (MM)</t>
  </si>
  <si>
    <t>General</t>
  </si>
  <si>
    <t>Previous Close</t>
  </si>
  <si>
    <t>P/E and EPS</t>
  </si>
  <si>
    <t>Ownership</t>
  </si>
  <si>
    <t>Returns</t>
  </si>
  <si>
    <t>Ratios</t>
  </si>
  <si>
    <t>PE (TTM)</t>
  </si>
  <si>
    <t>EPS (TTM)</t>
  </si>
  <si>
    <t>Annual Revenue (MM)</t>
  </si>
  <si>
    <t>Book Value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</si>
</sst>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F400]h:mm:ss\ AM/PM"/>
    <numFmt numFmtId="165" formatCode="mm/dd/yyyy"/>
    <numFmt numFmtId="166" formatCode="_(* #,##0_);_(* \(#,##0\);_(* &quot;-&quot;??_);_(@_)"/>
    <numFmt numFmtId="167" formatCode="_(&quot;$&quot;* #,##0_);_(&quot;$&quot;* \(#,##0\);_(&quot;$&quot;* &quot;-&quot;??_);_(@_)"/>
  </numFmts>
  <fonts count="11" x14ac:knownFonts="1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b/>
      <sz val="24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ADDF0"/>
        <bgColor indexed="64"/>
      </patternFill>
    </fill>
    <fill>
      <patternFill patternType="solid">
        <fgColor rgb="FF41444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0">
    <xf numFmtId="0" fontId="0" fillId="0" borderId="0" xfId="0"/>
    <xf numFmtId="0" fontId="8" fillId="2" borderId="0" xfId="5" applyFill="1"/>
    <xf numFmtId="0" fontId="8" fillId="0" borderId="0" xfId="5"/>
    <xf numFmtId="0" fontId="0" fillId="3" borderId="0" xfId="0" applyFill="1"/>
    <xf numFmtId="0" fontId="4" fillId="3" borderId="0" xfId="0" applyFont="1" applyFill="1"/>
    <xf numFmtId="0" fontId="5" fillId="3" borderId="0" xfId="0" applyFont="1" applyFill="1" applyAlignment="1">
      <alignment horizontal="left"/>
    </xf>
    <xf numFmtId="14" fontId="5" fillId="3" borderId="0" xfId="0" applyNumberFormat="1" applyFont="1" applyFill="1" applyAlignment="1">
      <alignment horizontal="left"/>
    </xf>
    <xf numFmtId="2" fontId="8" fillId="2" borderId="0" xfId="5" applyNumberFormat="1" applyFill="1"/>
    <xf numFmtId="0" fontId="1" fillId="2" borderId="0" xfId="5" applyFont="1" applyFill="1"/>
    <xf numFmtId="0" fontId="1" fillId="2" borderId="0" xfId="5" applyFont="1" applyFill="1" applyBorder="1"/>
    <xf numFmtId="14" fontId="1" fillId="2" borderId="0" xfId="5" applyNumberFormat="1" applyFont="1" applyFill="1" applyBorder="1"/>
    <xf numFmtId="164" fontId="1" fillId="2" borderId="0" xfId="5" applyNumberFormat="1" applyFont="1" applyFill="1" applyBorder="1"/>
    <xf numFmtId="2" fontId="1" fillId="2" borderId="0" xfId="5" applyNumberFormat="1" applyFont="1" applyFill="1" applyBorder="1"/>
    <xf numFmtId="0" fontId="1" fillId="2" borderId="0" xfId="5" applyFont="1" applyFill="1" applyBorder="1" applyAlignment="1"/>
    <xf numFmtId="14" fontId="8" fillId="2" borderId="0" xfId="5" applyNumberFormat="1" applyFill="1"/>
    <xf numFmtId="0" fontId="1" fillId="2" borderId="1" xfId="5" applyFont="1" applyFill="1" applyBorder="1" applyAlignment="1"/>
    <xf numFmtId="0" fontId="8" fillId="0" borderId="0" xfId="5" applyNumberFormat="1"/>
    <xf numFmtId="165" fontId="8" fillId="0" borderId="0" xfId="5" applyNumberFormat="1"/>
    <xf numFmtId="0" fontId="8" fillId="2" borderId="0" xfId="5" applyFill="1" applyAlignment="1">
      <alignment horizontal="right"/>
    </xf>
    <xf numFmtId="166" fontId="8" fillId="2" borderId="0" xfId="6" applyNumberFormat="1" applyFont="1" applyFill="1"/>
    <xf numFmtId="166" fontId="1" fillId="2" borderId="0" xfId="6" applyNumberFormat="1" applyFont="1" applyFill="1" applyBorder="1"/>
    <xf numFmtId="10" fontId="1" fillId="2" borderId="0" xfId="7" applyNumberFormat="1" applyFont="1" applyFill="1" applyBorder="1"/>
    <xf numFmtId="167" fontId="1" fillId="2" borderId="0" xfId="5" applyNumberFormat="1" applyFont="1" applyFill="1" applyBorder="1" applyAlignment="1">
      <alignment horizontal="right"/>
    </xf>
    <xf numFmtId="0" fontId="1" fillId="4" borderId="2" xfId="5" applyFont="1" applyFill="1" applyBorder="1" applyAlignment="1">
      <alignment horizontal="center"/>
    </xf>
    <xf numFmtId="0" fontId="8" fillId="5" borderId="0" xfId="5" applyFill="1"/>
    <xf numFmtId="0" fontId="9" fillId="5" borderId="1" xfId="5" applyFont="1" applyFill="1" applyBorder="1" applyAlignment="1">
      <alignment horizontal="center"/>
    </xf>
    <xf numFmtId="0" fontId="1" fillId="2" borderId="0" xfId="5" applyFont="1" applyFill="1" applyAlignment="1">
      <alignment horizontal="center" vertical="center" wrapText="1"/>
    </xf>
    <xf numFmtId="0" fontId="8" fillId="2" borderId="0" xfId="5" applyFill="1" applyAlignment="1">
      <alignment horizontal="center" vertical="center" wrapText="1"/>
    </xf>
    <xf numFmtId="0" fontId="7" fillId="0" borderId="0" xfId="5" applyFont="1" applyAlignment="1">
      <alignment horizontal="center"/>
    </xf>
    <xf numFmtId="0" fontId="1" fillId="2" borderId="3" xfId="5" applyFont="1" applyFill="1" applyBorder="1" applyAlignment="1">
      <alignment horizontal="center"/>
    </xf>
  </cellXfs>
  <cellStyles count="8">
    <cellStyle name="Comma" xfId="6" builtinId="3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5" xr:uid="{00000000-0005-0000-0000-000006000000}"/>
    <cellStyle name="Percent" xfId="7" builtinId="5"/>
  </cellStyles>
  <dxfs count="0"/>
  <tableStyles count="0" defaultTableStyle="TableStyleMedium9" defaultPivotStyle="PivotStyleMedium4"/>
  <colors>
    <mruColors>
      <color rgb="FF414445"/>
      <color rgb="FFAADDF0"/>
      <color rgb="FF0039A6"/>
      <color rgb="FF81D548"/>
      <color rgb="FFE3F4FA"/>
      <color rgb="FFC7E8F5"/>
      <color rgb="FF8ED2EB"/>
      <color rgb="FF72C7E7"/>
      <color rgb="FFA2A4A3"/>
      <color rgb="FFCDD8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ice.xl">
      <tp>
        <v>40.885300000000001</v>
        <stp/>
        <stp>ICE</stp>
        <stp>Book Value Per Share</stp>
        <tr r="N36" s="15"/>
      </tp>
      <tp t="s">
        <v>Field DIVINTERVAL not found</v>
        <stp/>
        <stp>ICE</stp>
        <stp>DivInterval</stp>
        <tr r="H20" s="15"/>
      </tp>
      <tp t="s">
        <v>INTERCONTINENTAL EXCHANGE INC</v>
        <stp/>
        <stp>ICE</stp>
        <stp>Description</stp>
        <tr r="AW6" s="15"/>
      </tp>
      <tp>
        <v>61201412220</v>
        <stp/>
        <stp>ICE</stp>
        <stp>Market Cap</stp>
        <tr r="H43" s="15"/>
      </tp>
      <tp>
        <v>0.89810000000000001</v>
        <stp/>
        <stp>ICE</stp>
        <stp>BETA</stp>
        <tr r="N34" s="15"/>
      </tp>
      <tp>
        <v>1.930183</v>
        <stp/>
        <stp>ICE</stp>
        <stp>ROA</stp>
        <tr r="N39" s="15"/>
      </tp>
      <tp>
        <v>15.364286999999999</v>
        <stp/>
        <stp>ICE</stp>
        <stp>ROE</stp>
        <tr r="N40" s="15"/>
      </tp>
      <tp>
        <v>60.16</v>
        <stp/>
        <stp>*H</stp>
        <stp>ICE</stp>
        <stp>Last</stp>
        <stp/>
        <stp>42885.3333333333</stp>
        <tr r="AW27" s="15"/>
      </tp>
      <tp>
        <v>60.34</v>
        <stp/>
        <stp>*H</stp>
        <stp>ICE</stp>
        <stp>Last</stp>
        <stp/>
        <stp>42887.3333333333</stp>
        <tr r="AW25" s="15"/>
      </tp>
      <tp>
        <v>60.19</v>
        <stp/>
        <stp>*H</stp>
        <stp>ICE</stp>
        <stp>Last</stp>
        <stp/>
        <stp>42886.3333333333</stp>
        <tr r="AW26" s="15"/>
      </tp>
      <tp>
        <v>60.35</v>
        <stp/>
        <stp>*H</stp>
        <stp>ICE</stp>
        <stp>Last</stp>
        <stp/>
        <stp>42881.3333333333</stp>
        <tr r="AW28" s="15"/>
      </tp>
      <tp>
        <v>60.44</v>
        <stp/>
        <stp>*H</stp>
        <stp>ICE</stp>
        <stp>Last</stp>
        <stp/>
        <stp>42880.3333333333</stp>
        <tr r="AW29" s="15"/>
      </tp>
      <tp>
        <v>60.32</v>
        <stp/>
        <stp>*H</stp>
        <stp>ICE</stp>
        <stp>Last</stp>
        <stp/>
        <stp>42888.3333333333</stp>
        <tr r="AW24" s="15"/>
      </tp>
      <tp>
        <v>63.97</v>
        <stp/>
        <stp>*H</stp>
        <stp>ICE</stp>
        <stp>Last</stp>
        <stp/>
        <stp>42895.3333333333</stp>
        <tr r="AW19" s="15"/>
      </tp>
      <tp>
        <v>63.79</v>
        <stp/>
        <stp>*H</stp>
        <stp>ICE</stp>
        <stp>Last</stp>
        <stp/>
        <stp>42894.3333333333</stp>
        <tr r="AW20" s="15"/>
      </tp>
      <tp>
        <v>61.7</v>
        <stp/>
        <stp>*H</stp>
        <stp>ICE</stp>
        <stp>Last</stp>
        <stp/>
        <stp>42891.3333333333</stp>
        <tr r="AW23" s="15"/>
      </tp>
      <tp>
        <v>63.62</v>
        <stp/>
        <stp>*H</stp>
        <stp>ICE</stp>
        <stp>Last</stp>
        <stp/>
        <stp>42893.3333333333</stp>
        <tr r="AW21" s="15"/>
      </tp>
      <tp>
        <v>61.55</v>
        <stp/>
        <stp>*H</stp>
        <stp>ICE</stp>
        <stp>Last</stp>
        <stp/>
        <stp>42892.3333333333</stp>
        <tr r="AW22" s="15"/>
      </tp>
      <tp>
        <v>64.459999999999994</v>
        <stp/>
        <stp>*H</stp>
        <stp>ICE</stp>
        <stp>Last</stp>
        <stp/>
        <stp>42899.3333333333</stp>
        <tr r="AW17" s="15"/>
      </tp>
      <tp>
        <v>64.430000000000007</v>
        <stp/>
        <stp>*H</stp>
        <stp>ICE</stp>
        <stp>Last</stp>
        <stp/>
        <stp>42898.3333333333</stp>
        <tr r="AW18" s="15"/>
      </tp>
      <tp>
        <v>59.87</v>
        <stp/>
        <stp>*H</stp>
        <stp>ICE</stp>
        <stp>Last</stp>
        <stp/>
        <stp>42825.3333333333</stp>
        <tr r="AW67" s="15"/>
      </tp>
      <tp>
        <v>60.03</v>
        <stp/>
        <stp>*H</stp>
        <stp>ICE</stp>
        <stp>Last</stp>
        <stp/>
        <stp>42824.3333333333</stp>
        <tr r="AW68" s="15"/>
      </tp>
      <tp>
        <v>59.4</v>
        <stp/>
        <stp>*H</stp>
        <stp>ICE</stp>
        <stp>Last</stp>
        <stp/>
        <stp>42821.3333333333</stp>
        <tr r="AW71" s="15"/>
      </tp>
      <tp>
        <v>59.3</v>
        <stp/>
        <stp>*H</stp>
        <stp>ICE</stp>
        <stp>Last</stp>
        <stp/>
        <stp>42823.3333333333</stp>
        <tr r="AW69" s="15"/>
      </tp>
      <tp>
        <v>59.83</v>
        <stp/>
        <stp>*H</stp>
        <stp>ICE</stp>
        <stp>Last</stp>
        <stp/>
        <stp>42822.3333333333</stp>
        <tr r="AW70" s="15"/>
      </tp>
      <tp>
        <v>59.41</v>
        <stp/>
        <stp>*H</stp>
        <stp>ICE</stp>
        <stp>Last</stp>
        <stp/>
        <stp>42829.3333333333</stp>
        <tr r="AW65" s="15"/>
      </tp>
      <tp>
        <v>59.32</v>
        <stp/>
        <stp>*H</stp>
        <stp>ICE</stp>
        <stp>Last</stp>
        <stp/>
        <stp>42828.3333333333</stp>
        <tr r="AW66" s="15"/>
      </tp>
      <tp>
        <v>60.4</v>
        <stp/>
        <stp>*H</stp>
        <stp>ICE</stp>
        <stp>Last</stp>
        <stp/>
        <stp>42835.3333333333</stp>
        <tr r="AW61" s="15"/>
      </tp>
      <tp>
        <v>59.83</v>
        <stp/>
        <stp>*H</stp>
        <stp>ICE</stp>
        <stp>Last</stp>
        <stp/>
        <stp>42837.3333333333</stp>
        <tr r="AW59" s="15"/>
      </tp>
      <tp>
        <v>60.29</v>
        <stp/>
        <stp>*H</stp>
        <stp>ICE</stp>
        <stp>Last</stp>
        <stp/>
        <stp>42836.3333333333</stp>
        <tr r="AW60" s="15"/>
      </tp>
      <tp>
        <v>60.24</v>
        <stp/>
        <stp>*H</stp>
        <stp>ICE</stp>
        <stp>Last</stp>
        <stp/>
        <stp>42831.3333333333</stp>
        <tr r="AW63" s="15"/>
      </tp>
      <tp>
        <v>59.97</v>
        <stp/>
        <stp>*H</stp>
        <stp>ICE</stp>
        <stp>Last</stp>
        <stp/>
        <stp>42830.3333333333</stp>
        <tr r="AW64" s="15"/>
      </tp>
      <tp>
        <v>60.78</v>
        <stp/>
        <stp>*H</stp>
        <stp>ICE</stp>
        <stp>Last</stp>
        <stp/>
        <stp>42832.3333333333</stp>
        <tr r="AW62" s="15"/>
      </tp>
      <tp>
        <v>59.42</v>
        <stp/>
        <stp>*H</stp>
        <stp>ICE</stp>
        <stp>Last</stp>
        <stp/>
        <stp>42838.3333333333</stp>
        <tr r="AW58" s="15"/>
      </tp>
      <tp>
        <v>60.4</v>
        <stp/>
        <stp>*H</stp>
        <stp>ICE</stp>
        <stp>Last</stp>
        <stp/>
        <stp>42807.3333333333</stp>
        <tr r="AW81" s="15"/>
      </tp>
      <tp>
        <v>60.4</v>
        <stp/>
        <stp>*H</stp>
        <stp>ICE</stp>
        <stp>Last</stp>
        <stp/>
        <stp>42809.3333333333</stp>
        <tr r="AW79" s="15"/>
      </tp>
      <tp>
        <v>60.21</v>
        <stp/>
        <stp>*H</stp>
        <stp>ICE</stp>
        <stp>Last</stp>
        <stp/>
        <stp>42808.3333333333</stp>
        <tr r="AW80" s="15"/>
      </tp>
      <tp>
        <v>60.03</v>
        <stp/>
        <stp>*H</stp>
        <stp>ICE</stp>
        <stp>Last</stp>
        <stp/>
        <stp>42815.3333333333</stp>
        <tr r="AW75" s="15"/>
      </tp>
      <tp>
        <v>61</v>
        <stp/>
        <stp>*H</stp>
        <stp>ICE</stp>
        <stp>Last</stp>
        <stp/>
        <stp>42814.3333333333</stp>
        <tr r="AW76" s="15"/>
      </tp>
      <tp>
        <v>59.87</v>
        <stp/>
        <stp>*H</stp>
        <stp>ICE</stp>
        <stp>Last</stp>
        <stp/>
        <stp>42817.3333333333</stp>
        <tr r="AW73" s="15"/>
      </tp>
      <tp>
        <v>59.8</v>
        <stp/>
        <stp>*H</stp>
        <stp>ICE</stp>
        <stp>Last</stp>
        <stp/>
        <stp>42816.3333333333</stp>
        <tr r="AW74" s="15"/>
      </tp>
      <tp>
        <v>61.4</v>
        <stp/>
        <stp>*H</stp>
        <stp>ICE</stp>
        <stp>Last</stp>
        <stp/>
        <stp>42811.3333333333</stp>
        <tr r="AW77" s="15"/>
      </tp>
      <tp>
        <v>61.55</v>
        <stp/>
        <stp>*H</stp>
        <stp>ICE</stp>
        <stp>Last</stp>
        <stp/>
        <stp>42810.3333333333</stp>
        <tr r="AW78" s="15"/>
      </tp>
      <tp>
        <v>59.85</v>
        <stp/>
        <stp>*H</stp>
        <stp>ICE</stp>
        <stp>Last</stp>
        <stp/>
        <stp>42818.3333333333</stp>
        <tr r="AW72" s="15"/>
      </tp>
      <tp>
        <v>59</v>
        <stp/>
        <stp>*H</stp>
        <stp>ICE</stp>
        <stp>Last</stp>
        <stp/>
        <stp>42865.3333333333</stp>
        <tr r="AW40" s="15"/>
      </tp>
      <tp>
        <v>58.91</v>
        <stp/>
        <stp>*H</stp>
        <stp>ICE</stp>
        <stp>Last</stp>
        <stp/>
        <stp>42864.3333333333</stp>
        <tr r="AW41" s="15"/>
      </tp>
      <tp>
        <v>58.79</v>
        <stp/>
        <stp>*H</stp>
        <stp>ICE</stp>
        <stp>Last</stp>
        <stp/>
        <stp>42867.3333333333</stp>
        <tr r="AW38" s="15"/>
      </tp>
      <tp>
        <v>59.07</v>
        <stp/>
        <stp>*H</stp>
        <stp>ICE</stp>
        <stp>Last</stp>
        <stp/>
        <stp>42866.3333333333</stp>
        <tr r="AW39" s="15"/>
      </tp>
      <tp>
        <v>60.46</v>
        <stp/>
        <stp>*H</stp>
        <stp>ICE</stp>
        <stp>Last</stp>
        <stp/>
        <stp>42860.3333333333</stp>
        <tr r="AW43" s="15"/>
      </tp>
      <tp>
        <v>59.09</v>
        <stp/>
        <stp>*H</stp>
        <stp>ICE</stp>
        <stp>Last</stp>
        <stp/>
        <stp>42863.3333333333</stp>
        <tr r="AW42" s="15"/>
      </tp>
      <tp>
        <v>59.32</v>
        <stp/>
        <stp>*H</stp>
        <stp>ICE</stp>
        <stp>Last</stp>
        <stp/>
        <stp>42874.3333333333</stp>
        <tr r="AW33" s="15"/>
      </tp>
      <tp>
        <v>59.46</v>
        <stp/>
        <stp>*H</stp>
        <stp>ICE</stp>
        <stp>Last</stp>
        <stp/>
        <stp>42877.3333333333</stp>
        <tr r="AW32" s="15"/>
      </tp>
      <tp>
        <v>59</v>
        <stp/>
        <stp>*H</stp>
        <stp>ICE</stp>
        <stp>Last</stp>
        <stp/>
        <stp>42871.3333333333</stp>
        <tr r="AW36" s="15"/>
      </tp>
      <tp>
        <v>59.29</v>
        <stp/>
        <stp>*H</stp>
        <stp>ICE</stp>
        <stp>Last</stp>
        <stp/>
        <stp>42870.3333333333</stp>
        <tr r="AW37" s="15"/>
      </tp>
      <tp>
        <v>58.59</v>
        <stp/>
        <stp>*H</stp>
        <stp>ICE</stp>
        <stp>Last</stp>
        <stp/>
        <stp>42873.3333333333</stp>
        <tr r="AW34" s="15"/>
      </tp>
      <tp>
        <v>58.07</v>
        <stp/>
        <stp>*H</stp>
        <stp>ICE</stp>
        <stp>Last</stp>
        <stp/>
        <stp>42872.3333333333</stp>
        <tr r="AW35" s="15"/>
      </tp>
      <tp>
        <v>59.94</v>
        <stp/>
        <stp>*H</stp>
        <stp>ICE</stp>
        <stp>Last</stp>
        <stp/>
        <stp>42879.3333333333</stp>
        <tr r="AW30" s="15"/>
      </tp>
      <tp>
        <v>59.87</v>
        <stp/>
        <stp>*H</stp>
        <stp>ICE</stp>
        <stp>Last</stp>
        <stp/>
        <stp>42878.3333333333</stp>
        <tr r="AW31" s="15"/>
      </tp>
      <tp>
        <v>60.63</v>
        <stp/>
        <stp>*H</stp>
        <stp>ICE</stp>
        <stp>Last</stp>
        <stp/>
        <stp>42845.3333333333</stp>
        <tr r="AW54" s="15"/>
      </tp>
      <tp>
        <v>59.95</v>
        <stp/>
        <stp>*H</stp>
        <stp>ICE</stp>
        <stp>Last</stp>
        <stp/>
        <stp>42844.3333333333</stp>
        <tr r="AW55" s="15"/>
      </tp>
      <tp>
        <v>60.41</v>
        <stp/>
        <stp>*H</stp>
        <stp>ICE</stp>
        <stp>Last</stp>
        <stp/>
        <stp>42846.3333333333</stp>
        <tr r="AW53" s="15"/>
      </tp>
      <tp>
        <v>60.27</v>
        <stp/>
        <stp>*H</stp>
        <stp>ICE</stp>
        <stp>Last</stp>
        <stp/>
        <stp>42843.3333333333</stp>
        <tr r="AW56" s="15"/>
      </tp>
      <tp>
        <v>60.1</v>
        <stp/>
        <stp>*H</stp>
        <stp>ICE</stp>
        <stp>Last</stp>
        <stp/>
        <stp>42842.3333333333</stp>
        <tr r="AW57" s="15"/>
      </tp>
      <tp>
        <v>60.58</v>
        <stp/>
        <stp>*H</stp>
        <stp>ICE</stp>
        <stp>Last</stp>
        <stp/>
        <stp>42849.3333333333</stp>
        <tr r="AW52" s="15"/>
      </tp>
      <tp>
        <v>60.62</v>
        <stp/>
        <stp>*H</stp>
        <stp>ICE</stp>
        <stp>Last</stp>
        <stp/>
        <stp>42857.3333333333</stp>
        <tr r="AW46" s="15"/>
      </tp>
      <tp>
        <v>60.4</v>
        <stp/>
        <stp>*H</stp>
        <stp>ICE</stp>
        <stp>Last</stp>
        <stp/>
        <stp>42856.3333333333</stp>
        <tr r="AW47" s="15"/>
      </tp>
      <tp>
        <v>61.1</v>
        <stp/>
        <stp>*H</stp>
        <stp>ICE</stp>
        <stp>Last</stp>
        <stp/>
        <stp>42851.3333333333</stp>
        <tr r="AW50" s="15"/>
      </tp>
      <tp>
        <v>60.97</v>
        <stp/>
        <stp>*H</stp>
        <stp>ICE</stp>
        <stp>Last</stp>
        <stp/>
        <stp>42850.3333333333</stp>
        <tr r="AW51" s="15"/>
      </tp>
      <tp>
        <v>60.2</v>
        <stp/>
        <stp>*H</stp>
        <stp>ICE</stp>
        <stp>Last</stp>
        <stp/>
        <stp>42853.3333333333</stp>
        <tr r="AW48" s="15"/>
      </tp>
      <tp>
        <v>60.21</v>
        <stp/>
        <stp>*H</stp>
        <stp>ICE</stp>
        <stp>Last</stp>
        <stp/>
        <stp>42852.3333333333</stp>
        <tr r="AW49" s="15"/>
      </tp>
      <tp>
        <v>60.87</v>
        <stp/>
        <stp>*H</stp>
        <stp>ICE</stp>
        <stp>Last</stp>
        <stp/>
        <stp>42859.3333333333</stp>
        <tr r="AW44" s="15"/>
      </tp>
      <tp>
        <v>60.33</v>
        <stp/>
        <stp>*H</stp>
        <stp>ICE</stp>
        <stp>Last</stp>
        <stp/>
        <stp>42858.3333333333</stp>
        <tr r="AW45" s="15"/>
      </tp>
      <tp>
        <v>59.39</v>
        <stp/>
        <stp>*H</stp>
        <stp>ICE</stp>
        <stp>Last</stp>
        <stp/>
        <stp>42802.2916666667</stp>
        <tr r="AW84" s="15"/>
      </tp>
      <tp>
        <v>60.06</v>
        <stp/>
        <stp>*H</stp>
        <stp>ICE</stp>
        <stp>Last</stp>
        <stp/>
        <stp>42803.2916666667</stp>
        <tr r="AW83" s="15"/>
      </tp>
      <tp>
        <v>59.02</v>
        <stp/>
        <stp>*H</stp>
        <stp>ICE</stp>
        <stp>Last</stp>
        <stp/>
        <stp>42800.2916666667</stp>
        <tr r="AW86" s="15"/>
      </tp>
      <tp>
        <v>58.63</v>
        <stp/>
        <stp>*H</stp>
        <stp>ICE</stp>
        <stp>Last</stp>
        <stp/>
        <stp>42801.2916666667</stp>
        <tr r="AW85" s="15"/>
      </tp>
      <tp>
        <v>60.26</v>
        <stp/>
        <stp>*H</stp>
        <stp>ICE</stp>
        <stp>Last</stp>
        <stp/>
        <stp>42804.2916666667</stp>
        <tr r="AW82" s="15"/>
      </tp>
      <tp>
        <v>64.77</v>
        <stp/>
        <stp>*H</stp>
        <stp>ICE</stp>
        <stp>Last</stp>
        <stp/>
        <stp>42905.3333333333</stp>
        <tr r="AW13" s="15"/>
      </tp>
      <tp>
        <v>64.290000000000006</v>
        <stp/>
        <stp>*H</stp>
        <stp>ICE</stp>
        <stp>Last</stp>
        <stp/>
        <stp>42907.3333333333</stp>
        <tr r="AW11" s="15"/>
      </tp>
      <tp>
        <v>64.52</v>
        <stp/>
        <stp>*H</stp>
        <stp>ICE</stp>
        <stp>Last</stp>
        <stp/>
        <stp>42906.3333333333</stp>
        <tr r="AW12" s="15"/>
      </tp>
      <tp>
        <v>64.61</v>
        <stp/>
        <stp>*H</stp>
        <stp>ICE</stp>
        <stp>Last</stp>
        <stp/>
        <stp>42901.3333333333</stp>
        <tr r="AW15" s="15"/>
      </tp>
      <tp>
        <v>64.67</v>
        <stp/>
        <stp>*H</stp>
        <stp>ICE</stp>
        <stp>Last</stp>
        <stp/>
        <stp>42900.3333333333</stp>
        <tr r="AW16" s="15"/>
      </tp>
      <tp>
        <v>64.569999999999993</v>
        <stp/>
        <stp>*H</stp>
        <stp>ICE</stp>
        <stp>Last</stp>
        <stp/>
        <stp>42902.3333333333</stp>
        <tr r="AW14" s="15"/>
      </tp>
      <tp>
        <v>64.28</v>
        <stp/>
        <stp>*H</stp>
        <stp>ICE</stp>
        <stp>Last</stp>
        <stp/>
        <stp>42909.3333333333</stp>
        <tr r="AW9" s="15"/>
      </tp>
      <tp>
        <v>64.150000000000006</v>
        <stp/>
        <stp>*H</stp>
        <stp>ICE</stp>
        <stp>Last</stp>
        <stp/>
        <stp>42908.3333333333</stp>
        <tr r="AW10" s="15"/>
      </tp>
      <tp>
        <v>65.38</v>
        <stp/>
        <stp>*H</stp>
        <stp>ICE</stp>
        <stp>Last</stp>
        <stp/>
        <stp>42913.3333333333</stp>
        <tr r="AW7" s="15"/>
      </tp>
      <tp>
        <v>64.349999999999994</v>
        <stp/>
        <stp>*H</stp>
        <stp>ICE</stp>
        <stp>Last</stp>
        <stp/>
        <stp>42912.3333333333</stp>
        <tr r="AW8" s="15"/>
      </tp>
      <tp>
        <v>48.082000000000001</v>
        <stp/>
        <stp>*H</stp>
        <stp>ICE</stp>
        <stp>Last</stp>
        <stp/>
        <stp>42485.3333333333</stp>
        <tr r="AW303" s="15"/>
      </tp>
      <tp>
        <v>48.698</v>
        <stp/>
        <stp>*H</stp>
        <stp>ICE</stp>
        <stp>Last</stp>
        <stp/>
        <stp>42487.3333333333</stp>
        <tr r="AW301" s="15"/>
      </tp>
      <tp>
        <v>48.875999999999998</v>
        <stp/>
        <stp>*H</stp>
        <stp>ICE</stp>
        <stp>Last</stp>
        <stp/>
        <stp>42486.3333333333</stp>
        <tr r="AW302" s="15"/>
      </tp>
      <tp>
        <v>48.031999999999996</v>
        <stp/>
        <stp>*H</stp>
        <stp>ICE</stp>
        <stp>Last</stp>
        <stp/>
        <stp>42481.3333333333</stp>
        <tr r="AW305" s="15"/>
      </tp>
      <tp>
        <v>48.52</v>
        <stp/>
        <stp>*H</stp>
        <stp>ICE</stp>
        <stp>Last</stp>
        <stp/>
        <stp>42480.3333333333</stp>
        <tr r="AW306" s="15"/>
      </tp>
      <tp>
        <v>48.23</v>
        <stp/>
        <stp>*H</stp>
        <stp>ICE</stp>
        <stp>Last</stp>
        <stp/>
        <stp>42482.3333333333</stp>
        <tr r="AW304" s="15"/>
      </tp>
      <tp>
        <v>48.006</v>
        <stp/>
        <stp>*H</stp>
        <stp>ICE</stp>
        <stp>Last</stp>
        <stp/>
        <stp>42489.3333333333</stp>
        <tr r="AW299" s="15"/>
      </tp>
      <tp>
        <v>48.171999999999997</v>
        <stp/>
        <stp>*H</stp>
        <stp>ICE</stp>
        <stp>Last</stp>
        <stp/>
        <stp>42488.3333333333</stp>
        <tr r="AW300" s="15"/>
      </tp>
      <tp>
        <v>50.804000000000002</v>
        <stp/>
        <stp>*H</stp>
        <stp>ICE</stp>
        <stp>Last</stp>
        <stp/>
        <stp>42495.3333333333</stp>
        <tr r="AW295" s="15"/>
      </tp>
      <tp>
        <v>51.698</v>
        <stp/>
        <stp>*H</stp>
        <stp>ICE</stp>
        <stp>Last</stp>
        <stp/>
        <stp>42494.3333333333</stp>
        <tr r="AW296" s="15"/>
      </tp>
      <tp>
        <v>51.631999999999998</v>
        <stp/>
        <stp>*H</stp>
        <stp>ICE</stp>
        <stp>Last</stp>
        <stp/>
        <stp>42496.3333333333</stp>
        <tr r="AW294" s="15"/>
      </tp>
      <tp>
        <v>48.195999999999998</v>
        <stp/>
        <stp>*H</stp>
        <stp>ICE</stp>
        <stp>Last</stp>
        <stp/>
        <stp>42493.3333333333</stp>
        <tr r="AW297" s="15"/>
      </tp>
      <tp>
        <v>48.936</v>
        <stp/>
        <stp>*H</stp>
        <stp>ICE</stp>
        <stp>Last</stp>
        <stp/>
        <stp>42492.3333333333</stp>
        <tr r="AW298" s="15"/>
      </tp>
      <tp>
        <v>52.1</v>
        <stp/>
        <stp>*H</stp>
        <stp>ICE</stp>
        <stp>Last</stp>
        <stp/>
        <stp>42499.3333333333</stp>
        <tr r="AW293" s="15"/>
      </tp>
      <tp t="s">
        <v/>
        <stp/>
        <stp>ICE</stp>
        <stp>EPSNxFyDt</stp>
        <tr r="H33" s="15"/>
      </tp>
      <tp>
        <v>55.603999999999999</v>
        <stp/>
        <stp>*H</stp>
        <stp>ICE</stp>
        <stp>Last</stp>
        <stp/>
        <stp>42585.3333333333</stp>
        <tr r="AW233" s="15"/>
      </tp>
      <tp>
        <v>52.786000000000001</v>
        <stp/>
        <stp>*H</stp>
        <stp>ICE</stp>
        <stp>Last</stp>
        <stp/>
        <stp>42584.3333333333</stp>
        <tr r="AW234" s="15"/>
      </tp>
      <tp>
        <v>55.613999999999997</v>
        <stp/>
        <stp>*H</stp>
        <stp>ICE</stp>
        <stp>Last</stp>
        <stp/>
        <stp>42587.3333333333</stp>
        <tr r="AW231" s="15"/>
      </tp>
      <tp>
        <v>55.667999999999999</v>
        <stp/>
        <stp>*H</stp>
        <stp>ICE</stp>
        <stp>Last</stp>
        <stp/>
        <stp>42586.3333333333</stp>
        <tr r="AW232" s="15"/>
      </tp>
      <tp>
        <v>52.84</v>
        <stp/>
        <stp>*H</stp>
        <stp>ICE</stp>
        <stp>Last</stp>
        <stp/>
        <stp>42580.3333333333</stp>
        <tr r="AW236" s="15"/>
      </tp>
      <tp>
        <v>52.926000000000002</v>
        <stp/>
        <stp>*H</stp>
        <stp>ICE</stp>
        <stp>Last</stp>
        <stp/>
        <stp>42583.3333333333</stp>
        <tr r="AW235" s="15"/>
      </tp>
      <tp>
        <v>55.728000000000002</v>
        <stp/>
        <stp>*H</stp>
        <stp>ICE</stp>
        <stp>Last</stp>
        <stp/>
        <stp>42594.3333333333</stp>
        <tr r="AW226" s="15"/>
      </tp>
      <tp>
        <v>56.003999999999998</v>
        <stp/>
        <stp>*H</stp>
        <stp>ICE</stp>
        <stp>Last</stp>
        <stp/>
        <stp>42597.3333333333</stp>
        <tr r="AW225" s="15"/>
      </tp>
      <tp>
        <v>55.393999999999998</v>
        <stp/>
        <stp>*H</stp>
        <stp>ICE</stp>
        <stp>Last</stp>
        <stp/>
        <stp>42591.3333333333</stp>
        <tr r="AW229" s="15"/>
      </tp>
      <tp>
        <v>55.36</v>
        <stp/>
        <stp>*H</stp>
        <stp>ICE</stp>
        <stp>Last</stp>
        <stp/>
        <stp>42590.3333333333</stp>
        <tr r="AW230" s="15"/>
      </tp>
      <tp>
        <v>55.72</v>
        <stp/>
        <stp>*H</stp>
        <stp>ICE</stp>
        <stp>Last</stp>
        <stp/>
        <stp>42593.3333333333</stp>
        <tr r="AW227" s="15"/>
      </tp>
      <tp>
        <v>55.366</v>
        <stp/>
        <stp>*H</stp>
        <stp>ICE</stp>
        <stp>Last</stp>
        <stp/>
        <stp>42592.3333333333</stp>
        <tr r="AW228" s="15"/>
      </tp>
      <tp>
        <v>56.304000000000002</v>
        <stp/>
        <stp>*H</stp>
        <stp>ICE</stp>
        <stp>Last</stp>
        <stp/>
        <stp>42599.3333333333</stp>
        <tr r="AW223" s="15"/>
      </tp>
      <tp>
        <v>55.622</v>
        <stp/>
        <stp>*H</stp>
        <stp>ICE</stp>
        <stp>Last</stp>
        <stp/>
        <stp>42598.3333333333</stp>
        <tr r="AW224" s="15"/>
      </tp>
      <tp>
        <v>53.101999999999997</v>
        <stp/>
        <stp>*H</stp>
        <stp>ICE</stp>
        <stp>Last</stp>
        <stp/>
        <stp>42524.3333333333</stp>
        <tr r="AW275" s="15"/>
      </tp>
      <tp>
        <v>52.9</v>
        <stp/>
        <stp>*H</stp>
        <stp>ICE</stp>
        <stp>Last</stp>
        <stp/>
        <stp>42527.3333333333</stp>
        <tr r="AW274" s="15"/>
      </tp>
      <tp>
        <v>54.223999999999997</v>
        <stp/>
        <stp>*H</stp>
        <stp>ICE</stp>
        <stp>Last</stp>
        <stp/>
        <stp>42521.3333333333</stp>
        <tr r="AW278" s="15"/>
      </tp>
      <tp>
        <v>53.448</v>
        <stp/>
        <stp>*H</stp>
        <stp>ICE</stp>
        <stp>Last</stp>
        <stp/>
        <stp>42523.3333333333</stp>
        <tr r="AW276" s="15"/>
      </tp>
      <tp>
        <v>53.816000000000003</v>
        <stp/>
        <stp>*H</stp>
        <stp>ICE</stp>
        <stp>Last</stp>
        <stp/>
        <stp>42522.3333333333</stp>
        <tr r="AW277" s="15"/>
      </tp>
      <tp>
        <v>52.963999999999999</v>
        <stp/>
        <stp>*H</stp>
        <stp>ICE</stp>
        <stp>Last</stp>
        <stp/>
        <stp>42529.3333333333</stp>
        <tr r="AW272" s="15"/>
      </tp>
      <tp>
        <v>53.058</v>
        <stp/>
        <stp>*H</stp>
        <stp>ICE</stp>
        <stp>Last</stp>
        <stp/>
        <stp>42528.3333333333</stp>
        <tr r="AW273" s="15"/>
      </tp>
      <tp>
        <v>51.603999999999999</v>
        <stp/>
        <stp>*H</stp>
        <stp>ICE</stp>
        <stp>Last</stp>
        <stp/>
        <stp>42535.3333333333</stp>
        <tr r="AW268" s="15"/>
      </tp>
      <tp>
        <v>52.112000000000002</v>
        <stp/>
        <stp>*H</stp>
        <stp>ICE</stp>
        <stp>Last</stp>
        <stp/>
        <stp>42534.3333333333</stp>
        <tr r="AW269" s="15"/>
      </tp>
      <tp>
        <v>51.311999999999998</v>
        <stp/>
        <stp>*H</stp>
        <stp>ICE</stp>
        <stp>Last</stp>
        <stp/>
        <stp>42537.3333333333</stp>
        <tr r="AW266" s="15"/>
      </tp>
      <tp>
        <v>51.305999999999997</v>
        <stp/>
        <stp>*H</stp>
        <stp>ICE</stp>
        <stp>Last</stp>
        <stp/>
        <stp>42536.3333333333</stp>
        <tr r="AW267" s="15"/>
      </tp>
      <tp>
        <v>52.258000000000003</v>
        <stp/>
        <stp>*H</stp>
        <stp>ICE</stp>
        <stp>Last</stp>
        <stp/>
        <stp>42531.3333333333</stp>
        <tr r="AW270" s="15"/>
      </tp>
      <tp>
        <v>52.503999999999998</v>
        <stp/>
        <stp>*H</stp>
        <stp>ICE</stp>
        <stp>Last</stp>
        <stp/>
        <stp>42530.3333333333</stp>
        <tr r="AW271" s="15"/>
      </tp>
      <tp>
        <v>50.731999999999999</v>
        <stp/>
        <stp>*H</stp>
        <stp>ICE</stp>
        <stp>Last</stp>
        <stp/>
        <stp>42538.3333333333</stp>
        <tr r="AW265" s="15"/>
      </tp>
      <tp>
        <v>51.515999999999998</v>
        <stp/>
        <stp>*H</stp>
        <stp>ICE</stp>
        <stp>Last</stp>
        <stp/>
        <stp>42507.3333333333</stp>
        <tr r="AW287" s="15"/>
      </tp>
      <tp>
        <v>52.322000000000003</v>
        <stp/>
        <stp>*H</stp>
        <stp>ICE</stp>
        <stp>Last</stp>
        <stp/>
        <stp>42506.3333333333</stp>
        <tr r="AW288" s="15"/>
      </tp>
      <tp>
        <v>51.71</v>
        <stp/>
        <stp>*H</stp>
        <stp>ICE</stp>
        <stp>Last</stp>
        <stp/>
        <stp>42501.3333333333</stp>
        <tr r="AW291" s="15"/>
      </tp>
      <tp>
        <v>52.204000000000001</v>
        <stp/>
        <stp>*H</stp>
        <stp>ICE</stp>
        <stp>Last</stp>
        <stp/>
        <stp>42500.3333333333</stp>
        <tr r="AW292" s="15"/>
      </tp>
      <tp>
        <v>51.997999999999998</v>
        <stp/>
        <stp>*H</stp>
        <stp>ICE</stp>
        <stp>Last</stp>
        <stp/>
        <stp>42503.3333333333</stp>
        <tr r="AW289" s="15"/>
      </tp>
      <tp>
        <v>52.427999999999997</v>
        <stp/>
        <stp>*H</stp>
        <stp>ICE</stp>
        <stp>Last</stp>
        <stp/>
        <stp>42502.3333333333</stp>
        <tr r="AW290" s="15"/>
      </tp>
      <tp>
        <v>52.125999999999998</v>
        <stp/>
        <stp>*H</stp>
        <stp>ICE</stp>
        <stp>Last</stp>
        <stp/>
        <stp>42509.3333333333</stp>
        <tr r="AW285" s="15"/>
      </tp>
      <tp>
        <v>52.292000000000002</v>
        <stp/>
        <stp>*H</stp>
        <stp>ICE</stp>
        <stp>Last</stp>
        <stp/>
        <stp>42508.3333333333</stp>
        <tr r="AW286" s="15"/>
      </tp>
      <tp>
        <v>54</v>
        <stp/>
        <stp>*H</stp>
        <stp>ICE</stp>
        <stp>Last</stp>
        <stp/>
        <stp>42515.3333333333</stp>
        <tr r="AW281" s="15"/>
      </tp>
      <tp>
        <v>54.137999999999998</v>
        <stp/>
        <stp>*H</stp>
        <stp>ICE</stp>
        <stp>Last</stp>
        <stp/>
        <stp>42514.3333333333</stp>
        <tr r="AW282" s="15"/>
      </tp>
      <tp>
        <v>54.042000000000002</v>
        <stp/>
        <stp>*H</stp>
        <stp>ICE</stp>
        <stp>Last</stp>
        <stp/>
        <stp>42517.3333333333</stp>
        <tr r="AW279" s="15"/>
      </tp>
      <tp>
        <v>53.6</v>
        <stp/>
        <stp>*H</stp>
        <stp>ICE</stp>
        <stp>Last</stp>
        <stp/>
        <stp>42516.3333333333</stp>
        <tr r="AW280" s="15"/>
      </tp>
      <tp>
        <v>52.597999999999999</v>
        <stp/>
        <stp>*H</stp>
        <stp>ICE</stp>
        <stp>Last</stp>
        <stp/>
        <stp>42510.3333333333</stp>
        <tr r="AW284" s="15"/>
      </tp>
      <tp>
        <v>52.795999999999999</v>
        <stp/>
        <stp>*H</stp>
        <stp>ICE</stp>
        <stp>Last</stp>
        <stp/>
        <stp>42513.3333333333</stp>
        <tr r="AW283" s="15"/>
      </tp>
      <tp>
        <v>52.508000000000003</v>
        <stp/>
        <stp>*H</stp>
        <stp>ICE</stp>
        <stp>Last</stp>
        <stp/>
        <stp>42565.3333333333</stp>
        <tr r="AW247" s="15"/>
      </tp>
      <tp>
        <v>51.915999999999997</v>
        <stp/>
        <stp>*H</stp>
        <stp>ICE</stp>
        <stp>Last</stp>
        <stp/>
        <stp>42564.3333333333</stp>
        <tr r="AW248" s="15"/>
      </tp>
      <tp>
        <v>52.61</v>
        <stp/>
        <stp>*H</stp>
        <stp>ICE</stp>
        <stp>Last</stp>
        <stp/>
        <stp>42566.3333333333</stp>
        <tr r="AW246" s="15"/>
      </tp>
      <tp>
        <v>52.095999999999997</v>
        <stp/>
        <stp>*H</stp>
        <stp>ICE</stp>
        <stp>Last</stp>
        <stp/>
        <stp>42563.3333333333</stp>
        <tr r="AW249" s="15"/>
      </tp>
      <tp>
        <v>51.588000000000001</v>
        <stp/>
        <stp>*H</stp>
        <stp>ICE</stp>
        <stp>Last</stp>
        <stp/>
        <stp>42562.3333333333</stp>
        <tr r="AW250" s="15"/>
      </tp>
      <tp>
        <v>52.582000000000001</v>
        <stp/>
        <stp>*H</stp>
        <stp>ICE</stp>
        <stp>Last</stp>
        <stp/>
        <stp>42569.3333333333</stp>
        <tr r="AW245" s="15"/>
      </tp>
      <tp>
        <v>52.42</v>
        <stp/>
        <stp>*H</stp>
        <stp>ICE</stp>
        <stp>Last</stp>
        <stp/>
        <stp>42577.3333333333</stp>
        <tr r="AW239" s="15"/>
      </tp>
      <tp>
        <v>52.682000000000002</v>
        <stp/>
        <stp>*H</stp>
        <stp>ICE</stp>
        <stp>Last</stp>
        <stp/>
        <stp>42576.3333333333</stp>
        <tr r="AW240" s="15"/>
      </tp>
      <tp>
        <v>52.54</v>
        <stp/>
        <stp>*H</stp>
        <stp>ICE</stp>
        <stp>Last</stp>
        <stp/>
        <stp>42571.3333333333</stp>
        <tr r="AW243" s="15"/>
      </tp>
      <tp>
        <v>52.834000000000003</v>
        <stp/>
        <stp>*H</stp>
        <stp>ICE</stp>
        <stp>Last</stp>
        <stp/>
        <stp>42570.3333333333</stp>
        <tr r="AW244" s="15"/>
      </tp>
      <tp>
        <v>52.634</v>
        <stp/>
        <stp>*H</stp>
        <stp>ICE</stp>
        <stp>Last</stp>
        <stp/>
        <stp>42573.3333333333</stp>
        <tr r="AW241" s="15"/>
      </tp>
      <tp>
        <v>52.488</v>
        <stp/>
        <stp>*H</stp>
        <stp>ICE</stp>
        <stp>Last</stp>
        <stp/>
        <stp>42572.3333333333</stp>
        <tr r="AW242" s="15"/>
      </tp>
      <tp>
        <v>53.052</v>
        <stp/>
        <stp>*H</stp>
        <stp>ICE</stp>
        <stp>Last</stp>
        <stp/>
        <stp>42579.3333333333</stp>
        <tr r="AW237" s="15"/>
      </tp>
      <tp>
        <v>52.808</v>
        <stp/>
        <stp>*H</stp>
        <stp>ICE</stp>
        <stp>Last</stp>
        <stp/>
        <stp>42578.3333333333</stp>
        <tr r="AW238" s="15"/>
      </tp>
      <tp>
        <v>49.28</v>
        <stp/>
        <stp>*H</stp>
        <stp>ICE</stp>
        <stp>Last</stp>
        <stp/>
        <stp>42545.3333333333</stp>
        <tr r="AW260" s="15"/>
      </tp>
      <tp>
        <v>51.21</v>
        <stp/>
        <stp>*H</stp>
        <stp>ICE</stp>
        <stp>Last</stp>
        <stp/>
        <stp>42544.3333333333</stp>
        <tr r="AW261" s="15"/>
      </tp>
      <tp>
        <v>50.44</v>
        <stp/>
        <stp>*H</stp>
        <stp>ICE</stp>
        <stp>Last</stp>
        <stp/>
        <stp>42541.3333333333</stp>
        <tr r="AW264" s="15"/>
      </tp>
      <tp>
        <v>50.4</v>
        <stp/>
        <stp>*H</stp>
        <stp>ICE</stp>
        <stp>Last</stp>
        <stp/>
        <stp>42543.3333333333</stp>
        <tr r="AW262" s="15"/>
      </tp>
      <tp>
        <v>50.192</v>
        <stp/>
        <stp>*H</stp>
        <stp>ICE</stp>
        <stp>Last</stp>
        <stp/>
        <stp>42542.3333333333</stp>
        <tr r="AW263" s="15"/>
      </tp>
      <tp>
        <v>49.665999999999997</v>
        <stp/>
        <stp>*H</stp>
        <stp>ICE</stp>
        <stp>Last</stp>
        <stp/>
        <stp>42549.3333333333</stp>
        <tr r="AW258" s="15"/>
      </tp>
      <tp>
        <v>48.442</v>
        <stp/>
        <stp>*H</stp>
        <stp>ICE</stp>
        <stp>Last</stp>
        <stp/>
        <stp>42548.3333333333</stp>
        <tr r="AW259" s="15"/>
      </tp>
      <tp>
        <v>50.975999999999999</v>
        <stp/>
        <stp>*H</stp>
        <stp>ICE</stp>
        <stp>Last</stp>
        <stp/>
        <stp>42557.3333333333</stp>
        <tr r="AW253" s="15"/>
      </tp>
      <tp>
        <v>50.973999999999997</v>
        <stp/>
        <stp>*H</stp>
        <stp>ICE</stp>
        <stp>Last</stp>
        <stp/>
        <stp>42556.3333333333</stp>
        <tr r="AW254" s="15"/>
      </tp>
      <tp>
        <v>51.192</v>
        <stp/>
        <stp>*H</stp>
        <stp>ICE</stp>
        <stp>Last</stp>
        <stp/>
        <stp>42551.3333333333</stp>
        <tr r="AW256" s="15"/>
      </tp>
      <tp>
        <v>50.552</v>
        <stp/>
        <stp>*H</stp>
        <stp>ICE</stp>
        <stp>Last</stp>
        <stp/>
        <stp>42550.3333333333</stp>
        <tr r="AW257" s="15"/>
      </tp>
      <tp>
        <v>50.548000000000002</v>
        <stp/>
        <stp>*H</stp>
        <stp>ICE</stp>
        <stp>Last</stp>
        <stp/>
        <stp>42552.3333333333</stp>
        <tr r="AW255" s="15"/>
      </tp>
      <tp>
        <v>51.378</v>
        <stp/>
        <stp>*H</stp>
        <stp>ICE</stp>
        <stp>Last</stp>
        <stp/>
        <stp>42559.3333333333</stp>
        <tr r="AW251" s="15"/>
      </tp>
      <tp>
        <v>50.792000000000002</v>
        <stp/>
        <stp>*H</stp>
        <stp>ICE</stp>
        <stp>Last</stp>
        <stp/>
        <stp>42558.3333333333</stp>
        <tr r="AW252" s="15"/>
      </tp>
      <tp>
        <v>59.46</v>
        <stp/>
        <stp>*H</stp>
        <stp>ICE</stp>
        <stp>Last</stp>
        <stp/>
        <stp>42712.2916666667</stp>
        <tr r="AW144" s="15"/>
      </tp>
      <tp>
        <v>59.66</v>
        <stp/>
        <stp>*H</stp>
        <stp>ICE</stp>
        <stp>Last</stp>
        <stp/>
        <stp>42713.2916666667</stp>
        <tr r="AW143" s="15"/>
      </tp>
      <tp>
        <v>58.56</v>
        <stp/>
        <stp>*H</stp>
        <stp>ICE</stp>
        <stp>Last</stp>
        <stp/>
        <stp>42710.2916666667</stp>
        <tr r="AW146" s="15"/>
      </tp>
      <tp>
        <v>59.08</v>
        <stp/>
        <stp>*H</stp>
        <stp>ICE</stp>
        <stp>Last</stp>
        <stp/>
        <stp>42711.2916666667</stp>
        <tr r="AW145" s="15"/>
      </tp>
      <tp>
        <v>59.59</v>
        <stp/>
        <stp>*H</stp>
        <stp>ICE</stp>
        <stp>Last</stp>
        <stp/>
        <stp>42716.2916666667</stp>
        <tr r="AW142" s="15"/>
      </tp>
      <tp>
        <v>59.41</v>
        <stp/>
        <stp>*H</stp>
        <stp>ICE</stp>
        <stp>Last</stp>
        <stp/>
        <stp>42717.2916666667</stp>
        <tr r="AW141" s="15"/>
      </tp>
      <tp>
        <v>58.37</v>
        <stp/>
        <stp>*H</stp>
        <stp>ICE</stp>
        <stp>Last</stp>
        <stp/>
        <stp>42718.2916666667</stp>
        <tr r="AW140" s="15"/>
      </tp>
      <tp>
        <v>58.33</v>
        <stp/>
        <stp>*H</stp>
        <stp>ICE</stp>
        <stp>Last</stp>
        <stp/>
        <stp>42719.2916666667</stp>
        <tr r="AW139" s="15"/>
      </tp>
      <tp>
        <v>54.08</v>
        <stp/>
        <stp>*H</stp>
        <stp>ICE</stp>
        <stp>Last</stp>
        <stp/>
        <stp>42702.2916666667</stp>
        <tr r="AW152" s="15"/>
      </tp>
      <tp>
        <v>54.84</v>
        <stp/>
        <stp>*H</stp>
        <stp>ICE</stp>
        <stp>Last</stp>
        <stp/>
        <stp>42703.2916666667</stp>
        <tr r="AW151" s="15"/>
      </tp>
      <tp>
        <v>56.65</v>
        <stp/>
        <stp>*H</stp>
        <stp>ICE</stp>
        <stp>Last</stp>
        <stp/>
        <stp>42706.2916666667</stp>
        <tr r="AW148" s="15"/>
      </tp>
      <tp>
        <v>55.4</v>
        <stp/>
        <stp>*H</stp>
        <stp>ICE</stp>
        <stp>Last</stp>
        <stp/>
        <stp>42704.2916666667</stp>
        <tr r="AW150" s="15"/>
      </tp>
      <tp>
        <v>56.35</v>
        <stp/>
        <stp>*H</stp>
        <stp>ICE</stp>
        <stp>Last</stp>
        <stp/>
        <stp>42705.2916666667</stp>
        <tr r="AW149" s="15"/>
      </tp>
      <tp>
        <v>57.79</v>
        <stp/>
        <stp>*H</stp>
        <stp>ICE</stp>
        <stp>Last</stp>
        <stp/>
        <stp>42709.2916666667</stp>
        <tr r="AW147" s="15"/>
      </tp>
      <tp>
        <v>56.65</v>
        <stp/>
        <stp>*H</stp>
        <stp>ICE</stp>
        <stp>Last</stp>
        <stp/>
        <stp>42732.2916666667</stp>
        <tr r="AW131" s="15"/>
      </tp>
      <tp>
        <v>56.49</v>
        <stp/>
        <stp>*H</stp>
        <stp>ICE</stp>
        <stp>Last</stp>
        <stp/>
        <stp>42733.2916666667</stp>
        <tr r="AW130" s="15"/>
      </tp>
      <tp>
        <v>57.28</v>
        <stp/>
        <stp>*H</stp>
        <stp>ICE</stp>
        <stp>Last</stp>
        <stp/>
        <stp>42731.2916666667</stp>
        <tr r="AW132" s="15"/>
      </tp>
      <tp>
        <v>56.42</v>
        <stp/>
        <stp>*H</stp>
        <stp>ICE</stp>
        <stp>Last</stp>
        <stp/>
        <stp>42734.2916666667</stp>
        <tr r="AW129" s="15"/>
      </tp>
      <tp>
        <v>56.22</v>
        <stp/>
        <stp>*H</stp>
        <stp>ICE</stp>
        <stp>Last</stp>
        <stp/>
        <stp>42738.2916666667</stp>
        <tr r="AW128" s="15"/>
      </tp>
      <tp>
        <v>57.21</v>
        <stp/>
        <stp>*H</stp>
        <stp>ICE</stp>
        <stp>Last</stp>
        <stp/>
        <stp>42739.2916666667</stp>
        <tr r="AW127" s="15"/>
      </tp>
      <tp>
        <v>57.66</v>
        <stp/>
        <stp>*H</stp>
        <stp>ICE</stp>
        <stp>Last</stp>
        <stp/>
        <stp>42723.2916666667</stp>
        <tr r="AW137" s="15"/>
      </tp>
      <tp>
        <v>57.92</v>
        <stp/>
        <stp>*H</stp>
        <stp>ICE</stp>
        <stp>Last</stp>
        <stp/>
        <stp>42720.2916666667</stp>
        <tr r="AW138" s="15"/>
      </tp>
      <tp>
        <v>57.28</v>
        <stp/>
        <stp>*H</stp>
        <stp>ICE</stp>
        <stp>Last</stp>
        <stp/>
        <stp>42726.2916666667</stp>
        <tr r="AW134" s="15"/>
      </tp>
      <tp>
        <v>56.82</v>
        <stp/>
        <stp>*H</stp>
        <stp>ICE</stp>
        <stp>Last</stp>
        <stp/>
        <stp>42727.2916666667</stp>
        <tr r="AW133" s="15"/>
      </tp>
      <tp>
        <v>58.07</v>
        <stp/>
        <stp>*H</stp>
        <stp>ICE</stp>
        <stp>Last</stp>
        <stp/>
        <stp>42724.2916666667</stp>
        <tr r="AW136" s="15"/>
      </tp>
      <tp>
        <v>57.33</v>
        <stp/>
        <stp>*H</stp>
        <stp>ICE</stp>
        <stp>Last</stp>
        <stp/>
        <stp>42725.2916666667</stp>
        <tr r="AW135" s="15"/>
      </tp>
      <tp>
        <v>56.46</v>
        <stp/>
        <stp>*H</stp>
        <stp>ICE</stp>
        <stp>Last</stp>
        <stp/>
        <stp>42752.2916666667</stp>
        <tr r="AW119" s="15"/>
      </tp>
      <tp>
        <v>57.31</v>
        <stp/>
        <stp>*H</stp>
        <stp>ICE</stp>
        <stp>Last</stp>
        <stp/>
        <stp>42753.2916666667</stp>
        <tr r="AW118" s="15"/>
      </tp>
      <tp>
        <v>56.96</v>
        <stp/>
        <stp>*H</stp>
        <stp>ICE</stp>
        <stp>Last</stp>
        <stp/>
        <stp>42754.2916666667</stp>
        <tr r="AW117" s="15"/>
      </tp>
      <tp>
        <v>57.4</v>
        <stp/>
        <stp>*H</stp>
        <stp>ICE</stp>
        <stp>Last</stp>
        <stp/>
        <stp>42755.2916666667</stp>
        <tr r="AW116" s="15"/>
      </tp>
      <tp>
        <v>56.84</v>
        <stp/>
        <stp>*H</stp>
        <stp>ICE</stp>
        <stp>Last</stp>
        <stp/>
        <stp>42758.2916666667</stp>
        <tr r="AW115" s="15"/>
      </tp>
      <tp>
        <v>57.46</v>
        <stp/>
        <stp>*H</stp>
        <stp>ICE</stp>
        <stp>Last</stp>
        <stp/>
        <stp>42759.2916666667</stp>
        <tr r="AW114" s="15"/>
      </tp>
      <tp>
        <v>56.97</v>
        <stp/>
        <stp>*H</stp>
        <stp>ICE</stp>
        <stp>Last</stp>
        <stp/>
        <stp>42740.2916666667</stp>
        <tr r="AW126" s="15"/>
      </tp>
      <tp>
        <v>57.34</v>
        <stp/>
        <stp>*H</stp>
        <stp>ICE</stp>
        <stp>Last</stp>
        <stp/>
        <stp>42741.2916666667</stp>
        <tr r="AW125" s="15"/>
      </tp>
      <tp>
        <v>56.84</v>
        <stp/>
        <stp>*H</stp>
        <stp>ICE</stp>
        <stp>Last</stp>
        <stp/>
        <stp>42746.2916666667</stp>
        <tr r="AW122" s="15"/>
      </tp>
      <tp>
        <v>56.72</v>
        <stp/>
        <stp>*H</stp>
        <stp>ICE</stp>
        <stp>Last</stp>
        <stp/>
        <stp>42747.2916666667</stp>
        <tr r="AW121" s="15"/>
      </tp>
      <tp>
        <v>57.02</v>
        <stp/>
        <stp>*H</stp>
        <stp>ICE</stp>
        <stp>Last</stp>
        <stp/>
        <stp>42744.2916666667</stp>
        <tr r="AW124" s="15"/>
      </tp>
      <tp>
        <v>56.77</v>
        <stp/>
        <stp>*H</stp>
        <stp>ICE</stp>
        <stp>Last</stp>
        <stp/>
        <stp>42745.2916666667</stp>
        <tr r="AW123" s="15"/>
      </tp>
      <tp>
        <v>56.83</v>
        <stp/>
        <stp>*H</stp>
        <stp>ICE</stp>
        <stp>Last</stp>
        <stp/>
        <stp>42748.2916666667</stp>
        <tr r="AW120" s="15"/>
      </tp>
      <tp>
        <v>58.51</v>
        <stp/>
        <stp>*H</stp>
        <stp>ICE</stp>
        <stp>Last</stp>
        <stp/>
        <stp>42772.2916666667</stp>
        <tr r="AW105" s="15"/>
      </tp>
      <tp>
        <v>59.93</v>
        <stp/>
        <stp>*H</stp>
        <stp>ICE</stp>
        <stp>Last</stp>
        <stp/>
        <stp>42773.2916666667</stp>
        <tr r="AW104" s="15"/>
      </tp>
      <tp>
        <v>57.65</v>
        <stp/>
        <stp>*H</stp>
        <stp>ICE</stp>
        <stp>Last</stp>
        <stp/>
        <stp>42776.2916666667</stp>
        <tr r="AW101" s="15"/>
      </tp>
      <tp>
        <v>57.04</v>
        <stp/>
        <stp>*H</stp>
        <stp>ICE</stp>
        <stp>Last</stp>
        <stp/>
        <stp>42774.2916666667</stp>
        <tr r="AW103" s="15"/>
      </tp>
      <tp>
        <v>57.58</v>
        <stp/>
        <stp>*H</stp>
        <stp>ICE</stp>
        <stp>Last</stp>
        <stp/>
        <stp>42775.2916666667</stp>
        <tr r="AW102" s="15"/>
      </tp>
      <tp>
        <v>59.03</v>
        <stp/>
        <stp>*H</stp>
        <stp>ICE</stp>
        <stp>Last</stp>
        <stp/>
        <stp>42779.2916666667</stp>
        <tr r="AW100" s="15"/>
      </tp>
      <tp>
        <v>57.88</v>
        <stp/>
        <stp>*H</stp>
        <stp>ICE</stp>
        <stp>Last</stp>
        <stp/>
        <stp>42762.2916666667</stp>
        <tr r="AW111" s="15"/>
      </tp>
      <tp>
        <v>57.96</v>
        <stp/>
        <stp>*H</stp>
        <stp>ICE</stp>
        <stp>Last</stp>
        <stp/>
        <stp>42760.2916666667</stp>
        <tr r="AW113" s="15"/>
      </tp>
      <tp>
        <v>58.17</v>
        <stp/>
        <stp>*H</stp>
        <stp>ICE</stp>
        <stp>Last</stp>
        <stp/>
        <stp>42761.2916666667</stp>
        <tr r="AW112" s="15"/>
      </tp>
      <tp>
        <v>58.36</v>
        <stp/>
        <stp>*H</stp>
        <stp>ICE</stp>
        <stp>Last</stp>
        <stp/>
        <stp>42766.2916666667</stp>
        <tr r="AW109" s="15"/>
      </tp>
      <tp>
        <v>58.35</v>
        <stp/>
        <stp>*H</stp>
        <stp>ICE</stp>
        <stp>Last</stp>
        <stp/>
        <stp>42767.2916666667</stp>
        <tr r="AW108" s="15"/>
      </tp>
      <tp>
        <v>57.94</v>
        <stp/>
        <stp>*H</stp>
        <stp>ICE</stp>
        <stp>Last</stp>
        <stp/>
        <stp>42765.2916666667</stp>
        <tr r="AW110" s="15"/>
      </tp>
      <tp>
        <v>58.39</v>
        <stp/>
        <stp>*H</stp>
        <stp>ICE</stp>
        <stp>Last</stp>
        <stp/>
        <stp>42768.2916666667</stp>
        <tr r="AW107" s="15"/>
      </tp>
      <tp>
        <v>58.54</v>
        <stp/>
        <stp>*H</stp>
        <stp>ICE</stp>
        <stp>Last</stp>
        <stp/>
        <stp>42769.2916666667</stp>
        <tr r="AW106" s="15"/>
      </tp>
      <tp>
        <v>56.997999999999998</v>
        <stp/>
        <stp>*H</stp>
        <stp>ICE</stp>
        <stp>Last</stp>
        <stp/>
        <stp>42625.3333333333</stp>
        <tr r="AW206" s="15"/>
      </tp>
      <tp>
        <v>57.7</v>
        <stp/>
        <stp>*H</stp>
        <stp>ICE</stp>
        <stp>Last</stp>
        <stp/>
        <stp>42793.2916666667</stp>
        <tr r="AW91" s="15"/>
      </tp>
      <tp>
        <v>55.96</v>
        <stp/>
        <stp>*H</stp>
        <stp>ICE</stp>
        <stp>Last</stp>
        <stp/>
        <stp>42627.3333333333</stp>
        <tr r="AW204" s="15"/>
      </tp>
      <tp>
        <v>58.3</v>
        <stp/>
        <stp>*H</stp>
        <stp>ICE</stp>
        <stp>Last</stp>
        <stp/>
        <stp>42790.2916666667</stp>
        <tr r="AW92" s="15"/>
      </tp>
      <tp>
        <v>56.33</v>
        <stp/>
        <stp>*H</stp>
        <stp>ICE</stp>
        <stp>Last</stp>
        <stp/>
        <stp>42626.3333333333</stp>
        <tr r="AW205" s="15"/>
      </tp>
      <tp>
        <v>56.506</v>
        <stp/>
        <stp>*H</stp>
        <stp>ICE</stp>
        <stp>Last</stp>
        <stp/>
        <stp>42621.3333333333</stp>
        <tr r="AW208" s="15"/>
      </tp>
      <tp>
        <v>58.52</v>
        <stp/>
        <stp>*H</stp>
        <stp>ICE</stp>
        <stp>Last</stp>
        <stp/>
        <stp>42796.2916666667</stp>
        <tr r="AW88" s="15"/>
      </tp>
      <tp>
        <v>56.73</v>
        <stp/>
        <stp>*H</stp>
        <stp>ICE</stp>
        <stp>Last</stp>
        <stp/>
        <stp>42620.3333333333</stp>
        <tr r="AW209" s="15"/>
      </tp>
      <tp>
        <v>58.74</v>
        <stp/>
        <stp>*H</stp>
        <stp>ICE</stp>
        <stp>Last</stp>
        <stp/>
        <stp>42797.2916666667</stp>
        <tr r="AW87" s="15"/>
      </tp>
      <tp>
        <v>57.13</v>
        <stp/>
        <stp>*H</stp>
        <stp>ICE</stp>
        <stp>Last</stp>
        <stp/>
        <stp>42794.2916666667</stp>
        <tr r="AW90" s="15"/>
      </tp>
      <tp>
        <v>56.45</v>
        <stp/>
        <stp>*H</stp>
        <stp>ICE</stp>
        <stp>Last</stp>
        <stp/>
        <stp>42622.3333333333</stp>
        <tr r="AW207" s="15"/>
      </tp>
      <tp>
        <v>58.93</v>
        <stp/>
        <stp>*H</stp>
        <stp>ICE</stp>
        <stp>Last</stp>
        <stp/>
        <stp>42795.2916666667</stp>
        <tr r="AW89" s="15"/>
      </tp>
      <tp>
        <v>56.3</v>
        <stp/>
        <stp>*H</stp>
        <stp>ICE</stp>
        <stp>Last</stp>
        <stp/>
        <stp>42629.3333333333</stp>
        <tr r="AW202" s="15"/>
      </tp>
      <tp>
        <v>56.344000000000001</v>
        <stp/>
        <stp>*H</stp>
        <stp>ICE</stp>
        <stp>Last</stp>
        <stp/>
        <stp>42628.3333333333</stp>
        <tr r="AW203" s="15"/>
      </tp>
      <tp>
        <v>56.143999999999998</v>
        <stp/>
        <stp>*H</stp>
        <stp>ICE</stp>
        <stp>Last</stp>
        <stp/>
        <stp>42635.3333333333</stp>
        <tr r="AW198" s="15"/>
      </tp>
      <tp>
        <v>58.65</v>
        <stp/>
        <stp>*H</stp>
        <stp>ICE</stp>
        <stp>Last</stp>
        <stp/>
        <stp>42782.2916666667</stp>
        <tr r="AW97" s="15"/>
      </tp>
      <tp>
        <v>56.451999999999998</v>
        <stp/>
        <stp>*H</stp>
        <stp>ICE</stp>
        <stp>Last</stp>
        <stp/>
        <stp>42634.3333333333</stp>
        <tr r="AW199" s="15"/>
      </tp>
      <tp>
        <v>58.4</v>
        <stp/>
        <stp>*H</stp>
        <stp>ICE</stp>
        <stp>Last</stp>
        <stp/>
        <stp>42783.2916666667</stp>
        <tr r="AW96" s="15"/>
      </tp>
      <tp>
        <v>58.65</v>
        <stp/>
        <stp>*H</stp>
        <stp>ICE</stp>
        <stp>Last</stp>
        <stp/>
        <stp>42780.2916666667</stp>
        <tr r="AW99" s="15"/>
      </tp>
      <tp>
        <v>55.222000000000001</v>
        <stp/>
        <stp>*H</stp>
        <stp>ICE</stp>
        <stp>Last</stp>
        <stp/>
        <stp>42636.3333333333</stp>
        <tr r="AW197" s="15"/>
      </tp>
      <tp>
        <v>59.01</v>
        <stp/>
        <stp>*H</stp>
        <stp>ICE</stp>
        <stp>Last</stp>
        <stp/>
        <stp>42781.2916666667</stp>
        <tr r="AW98" s="15"/>
      </tp>
      <tp>
        <v>57.96</v>
        <stp/>
        <stp>*H</stp>
        <stp>ICE</stp>
        <stp>Last</stp>
        <stp/>
        <stp>42787.2916666667</stp>
        <tr r="AW95" s="15"/>
      </tp>
      <tp>
        <v>56.042000000000002</v>
        <stp/>
        <stp>*H</stp>
        <stp>ICE</stp>
        <stp>Last</stp>
        <stp/>
        <stp>42633.3333333333</stp>
        <tr r="AW200" s="15"/>
      </tp>
      <tp>
        <v>56.45</v>
        <stp/>
        <stp>*H</stp>
        <stp>ICE</stp>
        <stp>Last</stp>
        <stp/>
        <stp>42632.3333333333</stp>
        <tr r="AW201" s="15"/>
      </tp>
      <tp>
        <v>57.73</v>
        <stp/>
        <stp>*H</stp>
        <stp>ICE</stp>
        <stp>Last</stp>
        <stp/>
        <stp>42788.2916666667</stp>
        <tr r="AW94" s="15"/>
      </tp>
      <tp>
        <v>58.11</v>
        <stp/>
        <stp>*H</stp>
        <stp>ICE</stp>
        <stp>Last</stp>
        <stp/>
        <stp>42789.2916666667</stp>
        <tr r="AW93" s="15"/>
      </tp>
      <tp>
        <v>54.808</v>
        <stp/>
        <stp>*H</stp>
        <stp>ICE</stp>
        <stp>Last</stp>
        <stp/>
        <stp>42639.3333333333</stp>
        <tr r="AW196" s="15"/>
      </tp>
      <tp>
        <v>55.776000000000003</v>
        <stp/>
        <stp>*H</stp>
        <stp>ICE</stp>
        <stp>Last</stp>
        <stp/>
        <stp>42605.3333333333</stp>
        <tr r="AW219" s="15"/>
      </tp>
      <tp>
        <v>55.898000000000003</v>
        <stp/>
        <stp>*H</stp>
        <stp>ICE</stp>
        <stp>Last</stp>
        <stp/>
        <stp>42604.3333333333</stp>
        <tr r="AW220" s="15"/>
      </tp>
      <tp>
        <v>55.436</v>
        <stp/>
        <stp>*H</stp>
        <stp>ICE</stp>
        <stp>Last</stp>
        <stp/>
        <stp>42607.3333333333</stp>
        <tr r="AW217" s="15"/>
      </tp>
      <tp>
        <v>55.427999999999997</v>
        <stp/>
        <stp>*H</stp>
        <stp>ICE</stp>
        <stp>Last</stp>
        <stp/>
        <stp>42606.3333333333</stp>
        <tr r="AW218" s="15"/>
      </tp>
      <tp>
        <v>56.066000000000003</v>
        <stp/>
        <stp>*H</stp>
        <stp>ICE</stp>
        <stp>Last</stp>
        <stp/>
        <stp>42601.3333333333</stp>
        <tr r="AW221" s="15"/>
      </tp>
      <tp>
        <v>56.271999999999998</v>
        <stp/>
        <stp>*H</stp>
        <stp>ICE</stp>
        <stp>Last</stp>
        <stp/>
        <stp>42600.3333333333</stp>
        <tr r="AW222" s="15"/>
      </tp>
      <tp>
        <v>55.536000000000001</v>
        <stp/>
        <stp>*H</stp>
        <stp>ICE</stp>
        <stp>Last</stp>
        <stp/>
        <stp>42608.3333333333</stp>
        <tr r="AW216" s="15"/>
      </tp>
      <tp>
        <v>57.073999999999998</v>
        <stp/>
        <stp>*H</stp>
        <stp>ICE</stp>
        <stp>Last</stp>
        <stp/>
        <stp>42615.3333333333</stp>
        <tr r="AW211" s="15"/>
      </tp>
      <tp>
        <v>56.87</v>
        <stp/>
        <stp>*H</stp>
        <stp>ICE</stp>
        <stp>Last</stp>
        <stp/>
        <stp>42614.3333333333</stp>
        <tr r="AW212" s="15"/>
      </tp>
      <tp>
        <v>55.712000000000003</v>
        <stp/>
        <stp>*H</stp>
        <stp>ICE</stp>
        <stp>Last</stp>
        <stp/>
        <stp>42611.3333333333</stp>
        <tr r="AW215" s="15"/>
      </tp>
      <tp>
        <v>56.404000000000003</v>
        <stp/>
        <stp>*H</stp>
        <stp>ICE</stp>
        <stp>Last</stp>
        <stp/>
        <stp>42613.3333333333</stp>
        <tr r="AW213" s="15"/>
      </tp>
      <tp>
        <v>55.991999999999997</v>
        <stp/>
        <stp>*H</stp>
        <stp>ICE</stp>
        <stp>Last</stp>
        <stp/>
        <stp>42612.3333333333</stp>
        <tr r="AW214" s="15"/>
      </tp>
      <tp>
        <v>56.972000000000001</v>
        <stp/>
        <stp>*H</stp>
        <stp>ICE</stp>
        <stp>Last</stp>
        <stp/>
        <stp>42619.3333333333</stp>
        <tr r="AW210" s="15"/>
      </tp>
      <tp>
        <v>53.265999999999998</v>
        <stp/>
        <stp>*H</stp>
        <stp>ICE</stp>
        <stp>Last</stp>
        <stp/>
        <stp>42664.3333333333</stp>
        <tr r="AW177" s="15"/>
      </tp>
      <tp>
        <v>53.308</v>
        <stp/>
        <stp>*H</stp>
        <stp>ICE</stp>
        <stp>Last</stp>
        <stp/>
        <stp>42667.3333333333</stp>
        <tr r="AW176" s="15"/>
      </tp>
      <tp>
        <v>53.53</v>
        <stp/>
        <stp>*H</stp>
        <stp>ICE</stp>
        <stp>Last</stp>
        <stp/>
        <stp>42661.3333333333</stp>
        <tr r="AW180" s="15"/>
      </tp>
      <tp>
        <v>53.177999999999997</v>
        <stp/>
        <stp>*H</stp>
        <stp>ICE</stp>
        <stp>Last</stp>
        <stp/>
        <stp>42660.3333333333</stp>
        <tr r="AW181" s="15"/>
      </tp>
      <tp>
        <v>53.006</v>
        <stp/>
        <stp>*H</stp>
        <stp>ICE</stp>
        <stp>Last</stp>
        <stp/>
        <stp>42663.3333333333</stp>
        <tr r="AW178" s="15"/>
      </tp>
      <tp>
        <v>53.411999999999999</v>
        <stp/>
        <stp>*H</stp>
        <stp>ICE</stp>
        <stp>Last</stp>
        <stp/>
        <stp>42662.3333333333</stp>
        <tr r="AW179" s="15"/>
      </tp>
      <tp>
        <v>53.264000000000003</v>
        <stp/>
        <stp>*H</stp>
        <stp>ICE</stp>
        <stp>Last</stp>
        <stp/>
        <stp>42669.3333333333</stp>
        <tr r="AW174" s="15"/>
      </tp>
      <tp>
        <v>53.387999999999998</v>
        <stp/>
        <stp>*H</stp>
        <stp>ICE</stp>
        <stp>Last</stp>
        <stp/>
        <stp>42668.3333333333</stp>
        <tr r="AW175" s="15"/>
      </tp>
      <tp>
        <v>52.61</v>
        <stp/>
        <stp>*H</stp>
        <stp>ICE</stp>
        <stp>Last</stp>
        <stp/>
        <stp>42675.3333333333</stp>
        <tr r="AW170" s="15"/>
      </tp>
      <tp>
        <v>54.078000000000003</v>
        <stp/>
        <stp>*H</stp>
        <stp>ICE</stp>
        <stp>Last</stp>
        <stp/>
        <stp>42674.3333333333</stp>
        <tr r="AW171" s="15"/>
      </tp>
      <tp>
        <v>53.893999999999998</v>
        <stp/>
        <stp>*H</stp>
        <stp>ICE</stp>
        <stp>Last</stp>
        <stp/>
        <stp>42677.3333333333</stp>
        <tr r="AW168" s="15"/>
      </tp>
      <tp>
        <v>53.043999999999997</v>
        <stp/>
        <stp>*H</stp>
        <stp>ICE</stp>
        <stp>Last</stp>
        <stp/>
        <stp>42676.3333333333</stp>
        <tr r="AW169" s="15"/>
      </tp>
      <tp>
        <v>53.566000000000003</v>
        <stp/>
        <stp>*H</stp>
        <stp>ICE</stp>
        <stp>Last</stp>
        <stp/>
        <stp>42671.3333333333</stp>
        <tr r="AW172" s="15"/>
      </tp>
      <tp>
        <v>53.222000000000001</v>
        <stp/>
        <stp>*H</stp>
        <stp>ICE</stp>
        <stp>Last</stp>
        <stp/>
        <stp>42670.3333333333</stp>
        <tr r="AW173" s="15"/>
      </tp>
      <tp>
        <v>53.37</v>
        <stp/>
        <stp>*H</stp>
        <stp>ICE</stp>
        <stp>Last</stp>
        <stp/>
        <stp>42678.3333333333</stp>
        <tr r="AW167" s="15"/>
      </tp>
      <tp>
        <v>53.552</v>
        <stp/>
        <stp>*H</stp>
        <stp>ICE</stp>
        <stp>Last</stp>
        <stp/>
        <stp>42647.3333333333</stp>
        <tr r="AW190" s="15"/>
      </tp>
      <tp>
        <v>53.533999999999999</v>
        <stp/>
        <stp>*H</stp>
        <stp>ICE</stp>
        <stp>Last</stp>
        <stp/>
        <stp>42646.3333333333</stp>
        <tr r="AW191" s="15"/>
      </tp>
      <tp>
        <v>54.192</v>
        <stp/>
        <stp>*H</stp>
        <stp>ICE</stp>
        <stp>Last</stp>
        <stp/>
        <stp>42641.3333333333</stp>
        <tr r="AW194" s="15"/>
      </tp>
      <tp>
        <v>54.706000000000003</v>
        <stp/>
        <stp>*H</stp>
        <stp>ICE</stp>
        <stp>Last</stp>
        <stp/>
        <stp>42640.3333333333</stp>
        <tr r="AW195" s="15"/>
      </tp>
      <tp>
        <v>53.872</v>
        <stp/>
        <stp>*H</stp>
        <stp>ICE</stp>
        <stp>Last</stp>
        <stp/>
        <stp>42643.3333333333</stp>
        <tr r="AW192" s="15"/>
      </tp>
      <tp>
        <v>53.68</v>
        <stp/>
        <stp>*H</stp>
        <stp>ICE</stp>
        <stp>Last</stp>
        <stp/>
        <stp>42642.3333333333</stp>
        <tr r="AW193" s="15"/>
      </tp>
      <tp>
        <v>53.543999999999997</v>
        <stp/>
        <stp>*H</stp>
        <stp>ICE</stp>
        <stp>Last</stp>
        <stp/>
        <stp>42649.3333333333</stp>
        <tr r="AW188" s="15"/>
      </tp>
      <tp>
        <v>53.661999999999999</v>
        <stp/>
        <stp>*H</stp>
        <stp>ICE</stp>
        <stp>Last</stp>
        <stp/>
        <stp>42648.3333333333</stp>
        <tr r="AW189" s="15"/>
      </tp>
      <tp>
        <v>53.466000000000001</v>
        <stp/>
        <stp>*H</stp>
        <stp>ICE</stp>
        <stp>Last</stp>
        <stp/>
        <stp>42655.3333333333</stp>
        <tr r="AW184" s="15"/>
      </tp>
      <tp>
        <v>53.07</v>
        <stp/>
        <stp>*H</stp>
        <stp>ICE</stp>
        <stp>Last</stp>
        <stp/>
        <stp>42654.3333333333</stp>
        <tr r="AW185" s="15"/>
      </tp>
      <tp>
        <v>54.258000000000003</v>
        <stp/>
        <stp>*H</stp>
        <stp>ICE</stp>
        <stp>Last</stp>
        <stp/>
        <stp>42657.3333333333</stp>
        <tr r="AW182" s="15"/>
      </tp>
      <tp>
        <v>53.311999999999998</v>
        <stp/>
        <stp>*H</stp>
        <stp>ICE</stp>
        <stp>Last</stp>
        <stp/>
        <stp>42656.3333333333</stp>
        <tr r="AW183" s="15"/>
      </tp>
      <tp>
        <v>53.462000000000003</v>
        <stp/>
        <stp>*H</stp>
        <stp>ICE</stp>
        <stp>Last</stp>
        <stp/>
        <stp>42650.3333333333</stp>
        <tr r="AW187" s="15"/>
      </tp>
      <tp>
        <v>53.68</v>
        <stp/>
        <stp>*H</stp>
        <stp>ICE</stp>
        <stp>Last</stp>
        <stp/>
        <stp>42653.3333333333</stp>
        <tr r="AW186" s="15"/>
      </tp>
      <tp>
        <v>54.82</v>
        <stp/>
        <stp>*H</stp>
        <stp>ICE</stp>
        <stp>Last</stp>
        <stp/>
        <stp>42692.2916666667</stp>
        <tr r="AW157" s="15"/>
      </tp>
      <tp>
        <v>54.45</v>
        <stp/>
        <stp>*H</stp>
        <stp>ICE</stp>
        <stp>Last</stp>
        <stp/>
        <stp>42690.2916666667</stp>
        <tr r="AW159" s="15"/>
      </tp>
      <tp>
        <v>54.9</v>
        <stp/>
        <stp>*H</stp>
        <stp>ICE</stp>
        <stp>Last</stp>
        <stp/>
        <stp>42691.2916666667</stp>
        <tr r="AW158" s="15"/>
      </tp>
      <tp>
        <v>54.41</v>
        <stp/>
        <stp>*H</stp>
        <stp>ICE</stp>
        <stp>Last</stp>
        <stp/>
        <stp>42696.2916666667</stp>
        <tr r="AW155" s="15"/>
      </tp>
      <tp>
        <v>54.33</v>
        <stp/>
        <stp>*H</stp>
        <stp>ICE</stp>
        <stp>Last</stp>
        <stp/>
        <stp>42697.2916666667</stp>
        <tr r="AW154" s="15"/>
      </tp>
      <tp>
        <v>55.18</v>
        <stp/>
        <stp>*H</stp>
        <stp>ICE</stp>
        <stp>Last</stp>
        <stp/>
        <stp>42695.2916666667</stp>
        <tr r="AW156" s="15"/>
      </tp>
      <tp>
        <v>54.69</v>
        <stp/>
        <stp>*H</stp>
        <stp>ICE</stp>
        <stp>Last</stp>
        <stp/>
        <stp>42699.2916666667</stp>
        <tr r="AW153" s="15"/>
      </tp>
      <tp>
        <v>54.62</v>
        <stp/>
        <stp>*H</stp>
        <stp>ICE</stp>
        <stp>Last</stp>
        <stp/>
        <stp>42682.2916666667</stp>
        <tr r="AW165" s="15"/>
      </tp>
      <tp>
        <v>57.34</v>
        <stp/>
        <stp>*H</stp>
        <stp>ICE</stp>
        <stp>Last</stp>
        <stp/>
        <stp>42683.2916666667</stp>
        <tr r="AW164" s="15"/>
      </tp>
      <tp>
        <v>54.43</v>
        <stp/>
        <stp>*H</stp>
        <stp>ICE</stp>
        <stp>Last</stp>
        <stp/>
        <stp>42681.2916666667</stp>
        <tr r="AW166" s="15"/>
      </tp>
      <tp>
        <v>57.3</v>
        <stp/>
        <stp>*H</stp>
        <stp>ICE</stp>
        <stp>Last</stp>
        <stp/>
        <stp>42684.2916666667</stp>
        <tr r="AW163" s="15"/>
      </tp>
      <tp>
        <v>56.25</v>
        <stp/>
        <stp>*H</stp>
        <stp>ICE</stp>
        <stp>Last</stp>
        <stp/>
        <stp>42685.2916666667</stp>
        <tr r="AW162" s="15"/>
      </tp>
      <tp>
        <v>55.59</v>
        <stp/>
        <stp>*H</stp>
        <stp>ICE</stp>
        <stp>Last</stp>
        <stp/>
        <stp>42688.2916666667</stp>
        <tr r="AW161" s="15"/>
      </tp>
      <tp>
        <v>55.5</v>
        <stp/>
        <stp>*H</stp>
        <stp>ICE</stp>
        <stp>Last</stp>
        <stp/>
        <stp>42689.2916666667</stp>
        <tr r="AW160" s="15"/>
      </tp>
      <tp>
        <v>44777.3125</v>
        <stp/>
        <stp>ICE</stp>
        <stp>EPSPrevQtrDt</stp>
        <tr r="H36" s="15"/>
      </tp>
      <tp>
        <v>-2.0110000000000001</v>
        <stp/>
        <stp>ICE</stp>
        <stp>PRD__52WkReturn2</stp>
        <tr r="K32" s="15"/>
      </tp>
      <tp>
        <v>-3.2309999999999999</v>
        <stp/>
        <stp>ICE</stp>
        <stp>PRD__52WkReturn1</stp>
        <tr r="K31" s="15"/>
      </tp>
      <tp>
        <v>17.943539000000001</v>
        <stp/>
        <stp>ICE</stp>
        <stp>Forward P/E Next Two Fiscal Year</stp>
        <tr r="H27" s="15"/>
      </tp>
      <tp>
        <v>558.45799999999997</v>
        <stp/>
        <stp>ICE</stp>
        <stp>SharesOut</stp>
        <tr r="H40" s="15"/>
      </tp>
      <tp t="s">
        <v/>
        <stp/>
        <stp>*H</stp>
        <stp>ICE</stp>
        <stp>OpenInt</stp>
        <stp/>
        <stp>42863.3333333333</stp>
        <tr r="AY42" s="15"/>
      </tp>
      <tp t="s">
        <v/>
        <stp/>
        <stp>*H</stp>
        <stp>ICE</stp>
        <stp>OpenInt</stp>
        <stp/>
        <stp>42860.3333333333</stp>
        <tr r="AY43" s="15"/>
      </tp>
      <tp t="s">
        <v/>
        <stp/>
        <stp>*H</stp>
        <stp>ICE</stp>
        <stp>OpenInt</stp>
        <stp/>
        <stp>42866.3333333333</stp>
        <tr r="AY39" s="15"/>
      </tp>
      <tp t="s">
        <v/>
        <stp/>
        <stp>*H</stp>
        <stp>ICE</stp>
        <stp>OpenInt</stp>
        <stp/>
        <stp>42867.3333333333</stp>
        <tr r="AY38" s="15"/>
      </tp>
      <tp t="s">
        <v/>
        <stp/>
        <stp>*H</stp>
        <stp>ICE</stp>
        <stp>OpenInt</stp>
        <stp/>
        <stp>42864.3333333333</stp>
        <tr r="AY41" s="15"/>
      </tp>
      <tp t="s">
        <v/>
        <stp/>
        <stp>*H</stp>
        <stp>ICE</stp>
        <stp>OpenInt</stp>
        <stp/>
        <stp>42865.3333333333</stp>
        <tr r="AY40" s="15"/>
      </tp>
      <tp t="s">
        <v/>
        <stp/>
        <stp>*H</stp>
        <stp>ICE</stp>
        <stp>OpenInt</stp>
        <stp/>
        <stp>42872.3333333333</stp>
        <tr r="AY35" s="15"/>
      </tp>
      <tp t="s">
        <v/>
        <stp/>
        <stp>*H</stp>
        <stp>ICE</stp>
        <stp>OpenInt</stp>
        <stp/>
        <stp>42873.3333333333</stp>
        <tr r="AY34" s="15"/>
      </tp>
      <tp t="s">
        <v/>
        <stp/>
        <stp>*H</stp>
        <stp>ICE</stp>
        <stp>OpenInt</stp>
        <stp/>
        <stp>42870.3333333333</stp>
        <tr r="AY37" s="15"/>
      </tp>
      <tp t="s">
        <v/>
        <stp/>
        <stp>*H</stp>
        <stp>ICE</stp>
        <stp>OpenInt</stp>
        <stp/>
        <stp>42871.3333333333</stp>
        <tr r="AY36" s="15"/>
      </tp>
      <tp t="s">
        <v/>
        <stp/>
        <stp>*H</stp>
        <stp>ICE</stp>
        <stp>OpenInt</stp>
        <stp/>
        <stp>42877.3333333333</stp>
        <tr r="AY32" s="15"/>
      </tp>
      <tp t="s">
        <v/>
        <stp/>
        <stp>*H</stp>
        <stp>ICE</stp>
        <stp>OpenInt</stp>
        <stp/>
        <stp>42874.3333333333</stp>
        <tr r="AY33" s="15"/>
      </tp>
      <tp t="s">
        <v/>
        <stp/>
        <stp>*H</stp>
        <stp>ICE</stp>
        <stp>OpenInt</stp>
        <stp/>
        <stp>42878.3333333333</stp>
        <tr r="AY31" s="15"/>
      </tp>
      <tp t="s">
        <v/>
        <stp/>
        <stp>*H</stp>
        <stp>ICE</stp>
        <stp>OpenInt</stp>
        <stp/>
        <stp>42879.3333333333</stp>
        <tr r="AY30" s="15"/>
      </tp>
      <tp t="s">
        <v/>
        <stp/>
        <stp>*H</stp>
        <stp>ICE</stp>
        <stp>OpenInt</stp>
        <stp/>
        <stp>42842.3333333333</stp>
        <tr r="AY57" s="15"/>
      </tp>
      <tp t="s">
        <v/>
        <stp/>
        <stp>*H</stp>
        <stp>ICE</stp>
        <stp>OpenInt</stp>
        <stp/>
        <stp>42843.3333333333</stp>
        <tr r="AY56" s="15"/>
      </tp>
      <tp t="s">
        <v/>
        <stp/>
        <stp>*H</stp>
        <stp>ICE</stp>
        <stp>OpenInt</stp>
        <stp/>
        <stp>42846.3333333333</stp>
        <tr r="AY53" s="15"/>
      </tp>
      <tp t="s">
        <v/>
        <stp/>
        <stp>*H</stp>
        <stp>ICE</stp>
        <stp>OpenInt</stp>
        <stp/>
        <stp>42844.3333333333</stp>
        <tr r="AY55" s="15"/>
      </tp>
      <tp t="s">
        <v/>
        <stp/>
        <stp>*H</stp>
        <stp>ICE</stp>
        <stp>OpenInt</stp>
        <stp/>
        <stp>42845.3333333333</stp>
        <tr r="AY54" s="15"/>
      </tp>
      <tp t="s">
        <v/>
        <stp/>
        <stp>*H</stp>
        <stp>ICE</stp>
        <stp>OpenInt</stp>
        <stp/>
        <stp>42849.3333333333</stp>
        <tr r="AY52" s="15"/>
      </tp>
      <tp t="s">
        <v/>
        <stp/>
        <stp>*H</stp>
        <stp>ICE</stp>
        <stp>OpenInt</stp>
        <stp/>
        <stp>42852.3333333333</stp>
        <tr r="AY49" s="15"/>
      </tp>
      <tp t="s">
        <v/>
        <stp/>
        <stp>*H</stp>
        <stp>ICE</stp>
        <stp>OpenInt</stp>
        <stp/>
        <stp>42853.3333333333</stp>
        <tr r="AY48" s="15"/>
      </tp>
      <tp t="s">
        <v/>
        <stp/>
        <stp>*H</stp>
        <stp>ICE</stp>
        <stp>OpenInt</stp>
        <stp/>
        <stp>42850.3333333333</stp>
        <tr r="AY51" s="15"/>
      </tp>
      <tp t="s">
        <v/>
        <stp/>
        <stp>*H</stp>
        <stp>ICE</stp>
        <stp>OpenInt</stp>
        <stp/>
        <stp>42851.3333333333</stp>
        <tr r="AY50" s="15"/>
      </tp>
      <tp t="s">
        <v/>
        <stp/>
        <stp>*H</stp>
        <stp>ICE</stp>
        <stp>OpenInt</stp>
        <stp/>
        <stp>42856.3333333333</stp>
        <tr r="AY47" s="15"/>
      </tp>
      <tp t="s">
        <v/>
        <stp/>
        <stp>*H</stp>
        <stp>ICE</stp>
        <stp>OpenInt</stp>
        <stp/>
        <stp>42857.3333333333</stp>
        <tr r="AY46" s="15"/>
      </tp>
      <tp t="s">
        <v/>
        <stp/>
        <stp>*H</stp>
        <stp>ICE</stp>
        <stp>OpenInt</stp>
        <stp/>
        <stp>42858.3333333333</stp>
        <tr r="AY45" s="15"/>
      </tp>
      <tp t="s">
        <v/>
        <stp/>
        <stp>*H</stp>
        <stp>ICE</stp>
        <stp>OpenInt</stp>
        <stp/>
        <stp>42859.3333333333</stp>
        <tr r="AY44" s="15"/>
      </tp>
      <tp t="s">
        <v/>
        <stp/>
        <stp>*H</stp>
        <stp>ICE</stp>
        <stp>OpenInt</stp>
        <stp/>
        <stp>42822.3333333333</stp>
        <tr r="AY70" s="15"/>
      </tp>
      <tp t="s">
        <v/>
        <stp/>
        <stp>*H</stp>
        <stp>ICE</stp>
        <stp>OpenInt</stp>
        <stp/>
        <stp>42823.3333333333</stp>
        <tr r="AY69" s="15"/>
      </tp>
      <tp t="s">
        <v/>
        <stp/>
        <stp>*H</stp>
        <stp>ICE</stp>
        <stp>OpenInt</stp>
        <stp/>
        <stp>42821.3333333333</stp>
        <tr r="AY71" s="15"/>
      </tp>
      <tp t="s">
        <v/>
        <stp/>
        <stp>*H</stp>
        <stp>ICE</stp>
        <stp>OpenInt</stp>
        <stp/>
        <stp>42824.3333333333</stp>
        <tr r="AY68" s="15"/>
      </tp>
      <tp t="s">
        <v/>
        <stp/>
        <stp>*H</stp>
        <stp>ICE</stp>
        <stp>OpenInt</stp>
        <stp/>
        <stp>42825.3333333333</stp>
        <tr r="AY67" s="15"/>
      </tp>
      <tp t="s">
        <v/>
        <stp/>
        <stp>*H</stp>
        <stp>ICE</stp>
        <stp>OpenInt</stp>
        <stp/>
        <stp>42828.3333333333</stp>
        <tr r="AY66" s="15"/>
      </tp>
      <tp t="s">
        <v/>
        <stp/>
        <stp>*H</stp>
        <stp>ICE</stp>
        <stp>OpenInt</stp>
        <stp/>
        <stp>42829.3333333333</stp>
        <tr r="AY65" s="15"/>
      </tp>
      <tp t="s">
        <v/>
        <stp/>
        <stp>*H</stp>
        <stp>ICE</stp>
        <stp>OpenInt</stp>
        <stp/>
        <stp>42832.3333333333</stp>
        <tr r="AY62" s="15"/>
      </tp>
      <tp t="s">
        <v/>
        <stp/>
        <stp>*H</stp>
        <stp>ICE</stp>
        <stp>OpenInt</stp>
        <stp/>
        <stp>42830.3333333333</stp>
        <tr r="AY64" s="15"/>
      </tp>
      <tp t="s">
        <v/>
        <stp/>
        <stp>*H</stp>
        <stp>ICE</stp>
        <stp>OpenInt</stp>
        <stp/>
        <stp>42831.3333333333</stp>
        <tr r="AY63" s="15"/>
      </tp>
      <tp t="s">
        <v/>
        <stp/>
        <stp>*H</stp>
        <stp>ICE</stp>
        <stp>OpenInt</stp>
        <stp/>
        <stp>42836.3333333333</stp>
        <tr r="AY60" s="15"/>
      </tp>
      <tp t="s">
        <v/>
        <stp/>
        <stp>*H</stp>
        <stp>ICE</stp>
        <stp>OpenInt</stp>
        <stp/>
        <stp>42837.3333333333</stp>
        <tr r="AY59" s="15"/>
      </tp>
      <tp t="s">
        <v/>
        <stp/>
        <stp>*H</stp>
        <stp>ICE</stp>
        <stp>OpenInt</stp>
        <stp/>
        <stp>42835.3333333333</stp>
        <tr r="AY61" s="15"/>
      </tp>
      <tp t="s">
        <v/>
        <stp/>
        <stp>*H</stp>
        <stp>ICE</stp>
        <stp>OpenInt</stp>
        <stp/>
        <stp>42838.3333333333</stp>
        <tr r="AY58" s="15"/>
      </tp>
      <tp t="s">
        <v/>
        <stp/>
        <stp>*H</stp>
        <stp>ICE</stp>
        <stp>OpenInt</stp>
        <stp/>
        <stp>42807.3333333333</stp>
        <tr r="AY81" s="15"/>
      </tp>
      <tp t="s">
        <v/>
        <stp/>
        <stp>*H</stp>
        <stp>ICE</stp>
        <stp>OpenInt</stp>
        <stp/>
        <stp>42808.3333333333</stp>
        <tr r="AY80" s="15"/>
      </tp>
      <tp t="s">
        <v/>
        <stp/>
        <stp>*H</stp>
        <stp>ICE</stp>
        <stp>OpenInt</stp>
        <stp/>
        <stp>42809.3333333333</stp>
        <tr r="AY79" s="15"/>
      </tp>
      <tp t="s">
        <v/>
        <stp/>
        <stp>*H</stp>
        <stp>ICE</stp>
        <stp>OpenInt</stp>
        <stp/>
        <stp>42810.3333333333</stp>
        <tr r="AY78" s="15"/>
      </tp>
      <tp t="s">
        <v/>
        <stp/>
        <stp>*H</stp>
        <stp>ICE</stp>
        <stp>OpenInt</stp>
        <stp/>
        <stp>42811.3333333333</stp>
        <tr r="AY77" s="15"/>
      </tp>
      <tp t="s">
        <v/>
        <stp/>
        <stp>*H</stp>
        <stp>ICE</stp>
        <stp>OpenInt</stp>
        <stp/>
        <stp>42816.3333333333</stp>
        <tr r="AY74" s="15"/>
      </tp>
      <tp t="s">
        <v/>
        <stp/>
        <stp>*H</stp>
        <stp>ICE</stp>
        <stp>OpenInt</stp>
        <stp/>
        <stp>42817.3333333333</stp>
        <tr r="AY73" s="15"/>
      </tp>
      <tp t="s">
        <v/>
        <stp/>
        <stp>*H</stp>
        <stp>ICE</stp>
        <stp>OpenInt</stp>
        <stp/>
        <stp>42814.3333333333</stp>
        <tr r="AY76" s="15"/>
      </tp>
      <tp t="s">
        <v/>
        <stp/>
        <stp>*H</stp>
        <stp>ICE</stp>
        <stp>OpenInt</stp>
        <stp/>
        <stp>42815.3333333333</stp>
        <tr r="AY75" s="15"/>
      </tp>
      <tp t="s">
        <v/>
        <stp/>
        <stp>*H</stp>
        <stp>ICE</stp>
        <stp>OpenInt</stp>
        <stp/>
        <stp>42818.3333333333</stp>
        <tr r="AY72" s="15"/>
      </tp>
      <tp t="s">
        <v/>
        <stp/>
        <stp>*H</stp>
        <stp>ICE</stp>
        <stp>OpenInt</stp>
        <stp/>
        <stp>42880.3333333333</stp>
        <tr r="AY29" s="15"/>
      </tp>
      <tp t="s">
        <v/>
        <stp/>
        <stp>*H</stp>
        <stp>ICE</stp>
        <stp>OpenInt</stp>
        <stp/>
        <stp>42881.3333333333</stp>
        <tr r="AY28" s="15"/>
      </tp>
      <tp t="s">
        <v/>
        <stp/>
        <stp>*H</stp>
        <stp>ICE</stp>
        <stp>OpenInt</stp>
        <stp/>
        <stp>42886.3333333333</stp>
        <tr r="AY26" s="15"/>
      </tp>
      <tp t="s">
        <v/>
        <stp/>
        <stp>*H</stp>
        <stp>ICE</stp>
        <stp>OpenInt</stp>
        <stp/>
        <stp>42887.3333333333</stp>
        <tr r="AY25" s="15"/>
      </tp>
      <tp t="s">
        <v/>
        <stp/>
        <stp>*H</stp>
        <stp>ICE</stp>
        <stp>OpenInt</stp>
        <stp/>
        <stp>42885.3333333333</stp>
        <tr r="AY27" s="15"/>
      </tp>
      <tp t="s">
        <v/>
        <stp/>
        <stp>*H</stp>
        <stp>ICE</stp>
        <stp>OpenInt</stp>
        <stp/>
        <stp>42888.3333333333</stp>
        <tr r="AY24" s="15"/>
      </tp>
      <tp t="s">
        <v/>
        <stp/>
        <stp>*H</stp>
        <stp>ICE</stp>
        <stp>OpenInt</stp>
        <stp/>
        <stp>42892.3333333333</stp>
        <tr r="AY22" s="15"/>
      </tp>
      <tp t="s">
        <v/>
        <stp/>
        <stp>*H</stp>
        <stp>ICE</stp>
        <stp>OpenInt</stp>
        <stp/>
        <stp>42893.3333333333</stp>
        <tr r="AY21" s="15"/>
      </tp>
      <tp t="s">
        <v/>
        <stp/>
        <stp>*H</stp>
        <stp>ICE</stp>
        <stp>OpenInt</stp>
        <stp/>
        <stp>42891.3333333333</stp>
        <tr r="AY23" s="15"/>
      </tp>
      <tp t="s">
        <v/>
        <stp/>
        <stp>*H</stp>
        <stp>ICE</stp>
        <stp>OpenInt</stp>
        <stp/>
        <stp>42894.3333333333</stp>
        <tr r="AY20" s="15"/>
      </tp>
      <tp t="s">
        <v/>
        <stp/>
        <stp>*H</stp>
        <stp>ICE</stp>
        <stp>OpenInt</stp>
        <stp/>
        <stp>42895.3333333333</stp>
        <tr r="AY19" s="15"/>
      </tp>
      <tp t="s">
        <v/>
        <stp/>
        <stp>*H</stp>
        <stp>ICE</stp>
        <stp>OpenInt</stp>
        <stp/>
        <stp>42898.3333333333</stp>
        <tr r="AY18" s="15"/>
      </tp>
      <tp t="s">
        <v/>
        <stp/>
        <stp>*H</stp>
        <stp>ICE</stp>
        <stp>OpenInt</stp>
        <stp/>
        <stp>42899.3333333333</stp>
        <tr r="AY17" s="15"/>
      </tp>
      <tp t="s">
        <v/>
        <stp/>
        <stp>*H</stp>
        <stp>ICE</stp>
        <stp>OpenInt</stp>
        <stp/>
        <stp>42902.3333333333</stp>
        <tr r="AY14" s="15"/>
      </tp>
      <tp t="s">
        <v/>
        <stp/>
        <stp>*H</stp>
        <stp>ICE</stp>
        <stp>OpenInt</stp>
        <stp/>
        <stp>42900.3333333333</stp>
        <tr r="AY16" s="15"/>
      </tp>
      <tp t="s">
        <v/>
        <stp/>
        <stp>*H</stp>
        <stp>ICE</stp>
        <stp>OpenInt</stp>
        <stp/>
        <stp>42901.3333333333</stp>
        <tr r="AY15" s="15"/>
      </tp>
      <tp t="s">
        <v/>
        <stp/>
        <stp>*H</stp>
        <stp>ICE</stp>
        <stp>OpenInt</stp>
        <stp/>
        <stp>42906.3333333333</stp>
        <tr r="AY12" s="15"/>
      </tp>
      <tp t="s">
        <v/>
        <stp/>
        <stp>*H</stp>
        <stp>ICE</stp>
        <stp>OpenInt</stp>
        <stp/>
        <stp>42907.3333333333</stp>
        <tr r="AY11" s="15"/>
      </tp>
      <tp t="s">
        <v/>
        <stp/>
        <stp>*H</stp>
        <stp>ICE</stp>
        <stp>OpenInt</stp>
        <stp/>
        <stp>42905.3333333333</stp>
        <tr r="AY13" s="15"/>
      </tp>
      <tp t="s">
        <v/>
        <stp/>
        <stp>*H</stp>
        <stp>ICE</stp>
        <stp>OpenInt</stp>
        <stp/>
        <stp>42908.3333333333</stp>
        <tr r="AY10" s="15"/>
      </tp>
      <tp t="s">
        <v/>
        <stp/>
        <stp>*H</stp>
        <stp>ICE</stp>
        <stp>OpenInt</stp>
        <stp/>
        <stp>42909.3333333333</stp>
        <tr r="AY9" s="15"/>
      </tp>
      <tp t="s">
        <v/>
        <stp/>
        <stp>*H</stp>
        <stp>ICE</stp>
        <stp>OpenInt</stp>
        <stp/>
        <stp>42912.3333333333</stp>
        <tr r="AY8" s="15"/>
      </tp>
      <tp t="s">
        <v/>
        <stp/>
        <stp>*H</stp>
        <stp>ICE</stp>
        <stp>OpenInt</stp>
        <stp/>
        <stp>42913.3333333333</stp>
        <tr r="AY7" s="15"/>
      </tp>
      <tp t="s">
        <v/>
        <stp/>
        <stp>*H</stp>
        <stp>ICE</stp>
        <stp>OpenInt</stp>
        <stp/>
        <stp>42804.2916666667</stp>
        <tr r="AY82" s="15"/>
      </tp>
      <tp t="s">
        <v/>
        <stp/>
        <stp>*H</stp>
        <stp>ICE</stp>
        <stp>OpenInt</stp>
        <stp/>
        <stp>42801.2916666667</stp>
        <tr r="AY85" s="15"/>
      </tp>
      <tp t="s">
        <v/>
        <stp/>
        <stp>*H</stp>
        <stp>ICE</stp>
        <stp>OpenInt</stp>
        <stp/>
        <stp>42800.2916666667</stp>
        <tr r="AY86" s="15"/>
      </tp>
      <tp t="s">
        <v/>
        <stp/>
        <stp>*H</stp>
        <stp>ICE</stp>
        <stp>OpenInt</stp>
        <stp/>
        <stp>42803.2916666667</stp>
        <tr r="AY83" s="15"/>
      </tp>
      <tp t="s">
        <v/>
        <stp/>
        <stp>*H</stp>
        <stp>ICE</stp>
        <stp>OpenInt</stp>
        <stp/>
        <stp>42802.2916666667</stp>
        <tr r="AY84" s="15"/>
      </tp>
      <tp t="s">
        <v/>
        <stp/>
        <stp>*H</stp>
        <stp>ICE</stp>
        <stp>OpenInt</stp>
        <stp/>
        <stp>42482.3333333333</stp>
        <tr r="AY304" s="15"/>
      </tp>
      <tp t="s">
        <v/>
        <stp/>
        <stp>*H</stp>
        <stp>ICE</stp>
        <stp>OpenInt</stp>
        <stp/>
        <stp>42480.3333333333</stp>
        <tr r="AY306" s="15"/>
      </tp>
      <tp t="s">
        <v/>
        <stp/>
        <stp>*H</stp>
        <stp>ICE</stp>
        <stp>OpenInt</stp>
        <stp/>
        <stp>42481.3333333333</stp>
        <tr r="AY305" s="15"/>
      </tp>
      <tp t="s">
        <v/>
        <stp/>
        <stp>*H</stp>
        <stp>ICE</stp>
        <stp>OpenInt</stp>
        <stp/>
        <stp>42486.3333333333</stp>
        <tr r="AY302" s="15"/>
      </tp>
      <tp t="s">
        <v/>
        <stp/>
        <stp>*H</stp>
        <stp>ICE</stp>
        <stp>OpenInt</stp>
        <stp/>
        <stp>42487.3333333333</stp>
        <tr r="AY301" s="15"/>
      </tp>
      <tp t="s">
        <v/>
        <stp/>
        <stp>*H</stp>
        <stp>ICE</stp>
        <stp>OpenInt</stp>
        <stp/>
        <stp>42485.3333333333</stp>
        <tr r="AY303" s="15"/>
      </tp>
      <tp t="s">
        <v/>
        <stp/>
        <stp>*H</stp>
        <stp>ICE</stp>
        <stp>OpenInt</stp>
        <stp/>
        <stp>42488.3333333333</stp>
        <tr r="AY300" s="15"/>
      </tp>
      <tp t="s">
        <v/>
        <stp/>
        <stp>*H</stp>
        <stp>ICE</stp>
        <stp>OpenInt</stp>
        <stp/>
        <stp>42489.3333333333</stp>
        <tr r="AY299" s="15"/>
      </tp>
      <tp t="s">
        <v/>
        <stp/>
        <stp>*H</stp>
        <stp>ICE</stp>
        <stp>OpenInt</stp>
        <stp/>
        <stp>42492.3333333333</stp>
        <tr r="AY298" s="15"/>
      </tp>
      <tp t="s">
        <v/>
        <stp/>
        <stp>*H</stp>
        <stp>ICE</stp>
        <stp>OpenInt</stp>
        <stp/>
        <stp>42493.3333333333</stp>
        <tr r="AY297" s="15"/>
      </tp>
      <tp t="s">
        <v/>
        <stp/>
        <stp>*H</stp>
        <stp>ICE</stp>
        <stp>OpenInt</stp>
        <stp/>
        <stp>42496.3333333333</stp>
        <tr r="AY294" s="15"/>
      </tp>
      <tp t="s">
        <v/>
        <stp/>
        <stp>*H</stp>
        <stp>ICE</stp>
        <stp>OpenInt</stp>
        <stp/>
        <stp>42494.3333333333</stp>
        <tr r="AY296" s="15"/>
      </tp>
      <tp t="s">
        <v/>
        <stp/>
        <stp>*H</stp>
        <stp>ICE</stp>
        <stp>OpenInt</stp>
        <stp/>
        <stp>42495.3333333333</stp>
        <tr r="AY295" s="15"/>
      </tp>
      <tp t="s">
        <v/>
        <stp/>
        <stp>*H</stp>
        <stp>ICE</stp>
        <stp>OpenInt</stp>
        <stp/>
        <stp>42499.3333333333</stp>
        <tr r="AY293" s="15"/>
      </tp>
      <tp t="s">
        <v/>
        <stp/>
        <stp>*H</stp>
        <stp>ICE</stp>
        <stp>OpenInt</stp>
        <stp/>
        <stp>42562.3333333333</stp>
        <tr r="AY250" s="15"/>
      </tp>
      <tp t="s">
        <v/>
        <stp/>
        <stp>*H</stp>
        <stp>ICE</stp>
        <stp>OpenInt</stp>
        <stp/>
        <stp>42563.3333333333</stp>
        <tr r="AY249" s="15"/>
      </tp>
      <tp t="s">
        <v/>
        <stp/>
        <stp>*H</stp>
        <stp>ICE</stp>
        <stp>OpenInt</stp>
        <stp/>
        <stp>42566.3333333333</stp>
        <tr r="AY246" s="15"/>
      </tp>
      <tp t="s">
        <v/>
        <stp/>
        <stp>*H</stp>
        <stp>ICE</stp>
        <stp>OpenInt</stp>
        <stp/>
        <stp>42564.3333333333</stp>
        <tr r="AY248" s="15"/>
      </tp>
      <tp t="s">
        <v/>
        <stp/>
        <stp>*H</stp>
        <stp>ICE</stp>
        <stp>OpenInt</stp>
        <stp/>
        <stp>42565.3333333333</stp>
        <tr r="AY247" s="15"/>
      </tp>
      <tp t="s">
        <v/>
        <stp/>
        <stp>*H</stp>
        <stp>ICE</stp>
        <stp>OpenInt</stp>
        <stp/>
        <stp>42569.3333333333</stp>
        <tr r="AY245" s="15"/>
      </tp>
      <tp t="s">
        <v/>
        <stp/>
        <stp>*H</stp>
        <stp>ICE</stp>
        <stp>OpenInt</stp>
        <stp/>
        <stp>42572.3333333333</stp>
        <tr r="AY242" s="15"/>
      </tp>
      <tp t="s">
        <v/>
        <stp/>
        <stp>*H</stp>
        <stp>ICE</stp>
        <stp>OpenInt</stp>
        <stp/>
        <stp>42573.3333333333</stp>
        <tr r="AY241" s="15"/>
      </tp>
      <tp t="s">
        <v/>
        <stp/>
        <stp>*H</stp>
        <stp>ICE</stp>
        <stp>OpenInt</stp>
        <stp/>
        <stp>42570.3333333333</stp>
        <tr r="AY244" s="15"/>
      </tp>
      <tp t="s">
        <v/>
        <stp/>
        <stp>*H</stp>
        <stp>ICE</stp>
        <stp>OpenInt</stp>
        <stp/>
        <stp>42571.3333333333</stp>
        <tr r="AY243" s="15"/>
      </tp>
      <tp t="s">
        <v/>
        <stp/>
        <stp>*H</stp>
        <stp>ICE</stp>
        <stp>OpenInt</stp>
        <stp/>
        <stp>42576.3333333333</stp>
        <tr r="AY240" s="15"/>
      </tp>
      <tp t="s">
        <v/>
        <stp/>
        <stp>*H</stp>
        <stp>ICE</stp>
        <stp>OpenInt</stp>
        <stp/>
        <stp>42577.3333333333</stp>
        <tr r="AY239" s="15"/>
      </tp>
      <tp t="s">
        <v/>
        <stp/>
        <stp>*H</stp>
        <stp>ICE</stp>
        <stp>OpenInt</stp>
        <stp/>
        <stp>42578.3333333333</stp>
        <tr r="AY238" s="15"/>
      </tp>
      <tp t="s">
        <v/>
        <stp/>
        <stp>*H</stp>
        <stp>ICE</stp>
        <stp>OpenInt</stp>
        <stp/>
        <stp>42579.3333333333</stp>
        <tr r="AY237" s="15"/>
      </tp>
      <tp t="s">
        <v/>
        <stp/>
        <stp>*H</stp>
        <stp>ICE</stp>
        <stp>OpenInt</stp>
        <stp/>
        <stp>42542.3333333333</stp>
        <tr r="AY263" s="15"/>
      </tp>
      <tp t="s">
        <v/>
        <stp/>
        <stp>*H</stp>
        <stp>ICE</stp>
        <stp>OpenInt</stp>
        <stp/>
        <stp>42543.3333333333</stp>
        <tr r="AY262" s="15"/>
      </tp>
      <tp t="s">
        <v/>
        <stp/>
        <stp>*H</stp>
        <stp>ICE</stp>
        <stp>OpenInt</stp>
        <stp/>
        <stp>42541.3333333333</stp>
        <tr r="AY264" s="15"/>
      </tp>
      <tp t="s">
        <v/>
        <stp/>
        <stp>*H</stp>
        <stp>ICE</stp>
        <stp>OpenInt</stp>
        <stp/>
        <stp>42544.3333333333</stp>
        <tr r="AY261" s="15"/>
      </tp>
      <tp t="s">
        <v/>
        <stp/>
        <stp>*H</stp>
        <stp>ICE</stp>
        <stp>OpenInt</stp>
        <stp/>
        <stp>42545.3333333333</stp>
        <tr r="AY260" s="15"/>
      </tp>
      <tp t="s">
        <v/>
        <stp/>
        <stp>*H</stp>
        <stp>ICE</stp>
        <stp>OpenInt</stp>
        <stp/>
        <stp>42548.3333333333</stp>
        <tr r="AY259" s="15"/>
      </tp>
      <tp t="s">
        <v/>
        <stp/>
        <stp>*H</stp>
        <stp>ICE</stp>
        <stp>OpenInt</stp>
        <stp/>
        <stp>42549.3333333333</stp>
        <tr r="AY258" s="15"/>
      </tp>
      <tp t="s">
        <v/>
        <stp/>
        <stp>*H</stp>
        <stp>ICE</stp>
        <stp>OpenInt</stp>
        <stp/>
        <stp>42552.3333333333</stp>
        <tr r="AY255" s="15"/>
      </tp>
      <tp t="s">
        <v/>
        <stp/>
        <stp>*H</stp>
        <stp>ICE</stp>
        <stp>OpenInt</stp>
        <stp/>
        <stp>42550.3333333333</stp>
        <tr r="AY257" s="15"/>
      </tp>
      <tp t="s">
        <v/>
        <stp/>
        <stp>*H</stp>
        <stp>ICE</stp>
        <stp>OpenInt</stp>
        <stp/>
        <stp>42551.3333333333</stp>
        <tr r="AY256" s="15"/>
      </tp>
      <tp t="s">
        <v/>
        <stp/>
        <stp>*H</stp>
        <stp>ICE</stp>
        <stp>OpenInt</stp>
        <stp/>
        <stp>42556.3333333333</stp>
        <tr r="AY254" s="15"/>
      </tp>
      <tp t="s">
        <v/>
        <stp/>
        <stp>*H</stp>
        <stp>ICE</stp>
        <stp>OpenInt</stp>
        <stp/>
        <stp>42557.3333333333</stp>
        <tr r="AY253" s="15"/>
      </tp>
      <tp t="s">
        <v/>
        <stp/>
        <stp>*H</stp>
        <stp>ICE</stp>
        <stp>OpenInt</stp>
        <stp/>
        <stp>42558.3333333333</stp>
        <tr r="AY252" s="15"/>
      </tp>
      <tp t="s">
        <v/>
        <stp/>
        <stp>*H</stp>
        <stp>ICE</stp>
        <stp>OpenInt</stp>
        <stp/>
        <stp>42559.3333333333</stp>
        <tr r="AY251" s="15"/>
      </tp>
      <tp t="s">
        <v/>
        <stp/>
        <stp>*H</stp>
        <stp>ICE</stp>
        <stp>OpenInt</stp>
        <stp/>
        <stp>42522.3333333333</stp>
        <tr r="AY277" s="15"/>
      </tp>
      <tp t="s">
        <v/>
        <stp/>
        <stp>*H</stp>
        <stp>ICE</stp>
        <stp>OpenInt</stp>
        <stp/>
        <stp>42523.3333333333</stp>
        <tr r="AY276" s="15"/>
      </tp>
      <tp t="s">
        <v/>
        <stp/>
        <stp>*H</stp>
        <stp>ICE</stp>
        <stp>OpenInt</stp>
        <stp/>
        <stp>42521.3333333333</stp>
        <tr r="AY278" s="15"/>
      </tp>
      <tp t="s">
        <v/>
        <stp/>
        <stp>*H</stp>
        <stp>ICE</stp>
        <stp>OpenInt</stp>
        <stp/>
        <stp>42527.3333333333</stp>
        <tr r="AY274" s="15"/>
      </tp>
      <tp t="s">
        <v/>
        <stp/>
        <stp>*H</stp>
        <stp>ICE</stp>
        <stp>OpenInt</stp>
        <stp/>
        <stp>42524.3333333333</stp>
        <tr r="AY275" s="15"/>
      </tp>
      <tp t="s">
        <v/>
        <stp/>
        <stp>*H</stp>
        <stp>ICE</stp>
        <stp>OpenInt</stp>
        <stp/>
        <stp>42528.3333333333</stp>
        <tr r="AY273" s="15"/>
      </tp>
      <tp t="s">
        <v/>
        <stp/>
        <stp>*H</stp>
        <stp>ICE</stp>
        <stp>OpenInt</stp>
        <stp/>
        <stp>42529.3333333333</stp>
        <tr r="AY272" s="15"/>
      </tp>
      <tp t="s">
        <v/>
        <stp/>
        <stp>*H</stp>
        <stp>ICE</stp>
        <stp>OpenInt</stp>
        <stp/>
        <stp>42530.3333333333</stp>
        <tr r="AY271" s="15"/>
      </tp>
      <tp t="s">
        <v/>
        <stp/>
        <stp>*H</stp>
        <stp>ICE</stp>
        <stp>OpenInt</stp>
        <stp/>
        <stp>42531.3333333333</stp>
        <tr r="AY270" s="15"/>
      </tp>
      <tp t="s">
        <v/>
        <stp/>
        <stp>*H</stp>
        <stp>ICE</stp>
        <stp>OpenInt</stp>
        <stp/>
        <stp>42536.3333333333</stp>
        <tr r="AY267" s="15"/>
      </tp>
      <tp t="s">
        <v/>
        <stp/>
        <stp>*H</stp>
        <stp>ICE</stp>
        <stp>OpenInt</stp>
        <stp/>
        <stp>42537.3333333333</stp>
        <tr r="AY266" s="15"/>
      </tp>
      <tp t="s">
        <v/>
        <stp/>
        <stp>*H</stp>
        <stp>ICE</stp>
        <stp>OpenInt</stp>
        <stp/>
        <stp>42534.3333333333</stp>
        <tr r="AY269" s="15"/>
      </tp>
      <tp t="s">
        <v/>
        <stp/>
        <stp>*H</stp>
        <stp>ICE</stp>
        <stp>OpenInt</stp>
        <stp/>
        <stp>42535.3333333333</stp>
        <tr r="AY268" s="15"/>
      </tp>
      <tp t="s">
        <v/>
        <stp/>
        <stp>*H</stp>
        <stp>ICE</stp>
        <stp>OpenInt</stp>
        <stp/>
        <stp>42538.3333333333</stp>
        <tr r="AY265" s="15"/>
      </tp>
      <tp t="s">
        <v/>
        <stp/>
        <stp>*H</stp>
        <stp>ICE</stp>
        <stp>OpenInt</stp>
        <stp/>
        <stp>42502.3333333333</stp>
        <tr r="AY290" s="15"/>
      </tp>
      <tp t="s">
        <v/>
        <stp/>
        <stp>*H</stp>
        <stp>ICE</stp>
        <stp>OpenInt</stp>
        <stp/>
        <stp>42503.3333333333</stp>
        <tr r="AY289" s="15"/>
      </tp>
      <tp t="s">
        <v/>
        <stp/>
        <stp>*H</stp>
        <stp>ICE</stp>
        <stp>OpenInt</stp>
        <stp/>
        <stp>42500.3333333333</stp>
        <tr r="AY292" s="15"/>
      </tp>
      <tp t="s">
        <v/>
        <stp/>
        <stp>*H</stp>
        <stp>ICE</stp>
        <stp>OpenInt</stp>
        <stp/>
        <stp>42501.3333333333</stp>
        <tr r="AY291" s="15"/>
      </tp>
      <tp t="s">
        <v/>
        <stp/>
        <stp>*H</stp>
        <stp>ICE</stp>
        <stp>OpenInt</stp>
        <stp/>
        <stp>42506.3333333333</stp>
        <tr r="AY288" s="15"/>
      </tp>
      <tp t="s">
        <v/>
        <stp/>
        <stp>*H</stp>
        <stp>ICE</stp>
        <stp>OpenInt</stp>
        <stp/>
        <stp>42507.3333333333</stp>
        <tr r="AY287" s="15"/>
      </tp>
      <tp t="s">
        <v/>
        <stp/>
        <stp>*H</stp>
        <stp>ICE</stp>
        <stp>OpenInt</stp>
        <stp/>
        <stp>42508.3333333333</stp>
        <tr r="AY286" s="15"/>
      </tp>
      <tp t="s">
        <v/>
        <stp/>
        <stp>*H</stp>
        <stp>ICE</stp>
        <stp>OpenInt</stp>
        <stp/>
        <stp>42509.3333333333</stp>
        <tr r="AY285" s="15"/>
      </tp>
      <tp t="s">
        <v/>
        <stp/>
        <stp>*H</stp>
        <stp>ICE</stp>
        <stp>OpenInt</stp>
        <stp/>
        <stp>42513.3333333333</stp>
        <tr r="AY283" s="15"/>
      </tp>
      <tp t="s">
        <v/>
        <stp/>
        <stp>*H</stp>
        <stp>ICE</stp>
        <stp>OpenInt</stp>
        <stp/>
        <stp>42510.3333333333</stp>
        <tr r="AY284" s="15"/>
      </tp>
      <tp t="s">
        <v/>
        <stp/>
        <stp>*H</stp>
        <stp>ICE</stp>
        <stp>OpenInt</stp>
        <stp/>
        <stp>42516.3333333333</stp>
        <tr r="AY280" s="15"/>
      </tp>
      <tp t="s">
        <v/>
        <stp/>
        <stp>*H</stp>
        <stp>ICE</stp>
        <stp>OpenInt</stp>
        <stp/>
        <stp>42517.3333333333</stp>
        <tr r="AY279" s="15"/>
      </tp>
      <tp t="s">
        <v/>
        <stp/>
        <stp>*H</stp>
        <stp>ICE</stp>
        <stp>OpenInt</stp>
        <stp/>
        <stp>42514.3333333333</stp>
        <tr r="AY282" s="15"/>
      </tp>
      <tp t="s">
        <v/>
        <stp/>
        <stp>*H</stp>
        <stp>ICE</stp>
        <stp>OpenInt</stp>
        <stp/>
        <stp>42515.3333333333</stp>
        <tr r="AY281" s="15"/>
      </tp>
      <tp t="s">
        <v/>
        <stp/>
        <stp>*H</stp>
        <stp>ICE</stp>
        <stp>OpenInt</stp>
        <stp/>
        <stp>42583.3333333333</stp>
        <tr r="AY235" s="15"/>
      </tp>
      <tp t="s">
        <v/>
        <stp/>
        <stp>*H</stp>
        <stp>ICE</stp>
        <stp>OpenInt</stp>
        <stp/>
        <stp>42580.3333333333</stp>
        <tr r="AY236" s="15"/>
      </tp>
      <tp t="s">
        <v/>
        <stp/>
        <stp>*H</stp>
        <stp>ICE</stp>
        <stp>OpenInt</stp>
        <stp/>
        <stp>42586.3333333333</stp>
        <tr r="AY232" s="15"/>
      </tp>
      <tp t="s">
        <v/>
        <stp/>
        <stp>*H</stp>
        <stp>ICE</stp>
        <stp>OpenInt</stp>
        <stp/>
        <stp>42587.3333333333</stp>
        <tr r="AY231" s="15"/>
      </tp>
      <tp t="s">
        <v/>
        <stp/>
        <stp>*H</stp>
        <stp>ICE</stp>
        <stp>OpenInt</stp>
        <stp/>
        <stp>42584.3333333333</stp>
        <tr r="AY234" s="15"/>
      </tp>
      <tp t="s">
        <v/>
        <stp/>
        <stp>*H</stp>
        <stp>ICE</stp>
        <stp>OpenInt</stp>
        <stp/>
        <stp>42585.3333333333</stp>
        <tr r="AY233" s="15"/>
      </tp>
      <tp t="s">
        <v/>
        <stp/>
        <stp>*H</stp>
        <stp>ICE</stp>
        <stp>OpenInt</stp>
        <stp/>
        <stp>42592.3333333333</stp>
        <tr r="AY228" s="15"/>
      </tp>
      <tp t="s">
        <v/>
        <stp/>
        <stp>*H</stp>
        <stp>ICE</stp>
        <stp>OpenInt</stp>
        <stp/>
        <stp>42593.3333333333</stp>
        <tr r="AY227" s="15"/>
      </tp>
      <tp t="s">
        <v/>
        <stp/>
        <stp>*H</stp>
        <stp>ICE</stp>
        <stp>OpenInt</stp>
        <stp/>
        <stp>42590.3333333333</stp>
        <tr r="AY230" s="15"/>
      </tp>
      <tp t="s">
        <v/>
        <stp/>
        <stp>*H</stp>
        <stp>ICE</stp>
        <stp>OpenInt</stp>
        <stp/>
        <stp>42591.3333333333</stp>
        <tr r="AY229" s="15"/>
      </tp>
      <tp t="s">
        <v/>
        <stp/>
        <stp>*H</stp>
        <stp>ICE</stp>
        <stp>OpenInt</stp>
        <stp/>
        <stp>42597.3333333333</stp>
        <tr r="AY225" s="15"/>
      </tp>
      <tp t="s">
        <v/>
        <stp/>
        <stp>*H</stp>
        <stp>ICE</stp>
        <stp>OpenInt</stp>
        <stp/>
        <stp>42594.3333333333</stp>
        <tr r="AY226" s="15"/>
      </tp>
      <tp t="s">
        <v/>
        <stp/>
        <stp>*H</stp>
        <stp>ICE</stp>
        <stp>OpenInt</stp>
        <stp/>
        <stp>42598.3333333333</stp>
        <tr r="AY224" s="15"/>
      </tp>
      <tp t="s">
        <v/>
        <stp/>
        <stp>*H</stp>
        <stp>ICE</stp>
        <stp>OpenInt</stp>
        <stp/>
        <stp>42599.3333333333</stp>
        <tr r="AY223" s="15"/>
      </tp>
      <tp t="s">
        <v/>
        <stp/>
        <stp>*H</stp>
        <stp>ICE</stp>
        <stp>OpenInt</stp>
        <stp/>
        <stp>42662.3333333333</stp>
        <tr r="AY179" s="15"/>
      </tp>
      <tp t="s">
        <v/>
        <stp/>
        <stp>*H</stp>
        <stp>ICE</stp>
        <stp>OpenInt</stp>
        <stp/>
        <stp>42663.3333333333</stp>
        <tr r="AY178" s="15"/>
      </tp>
      <tp t="s">
        <v/>
        <stp/>
        <stp>*H</stp>
        <stp>ICE</stp>
        <stp>OpenInt</stp>
        <stp/>
        <stp>42660.3333333333</stp>
        <tr r="AY181" s="15"/>
      </tp>
      <tp t="s">
        <v/>
        <stp/>
        <stp>*H</stp>
        <stp>ICE</stp>
        <stp>OpenInt</stp>
        <stp/>
        <stp>42661.3333333333</stp>
        <tr r="AY180" s="15"/>
      </tp>
      <tp t="s">
        <v/>
        <stp/>
        <stp>*H</stp>
        <stp>ICE</stp>
        <stp>OpenInt</stp>
        <stp/>
        <stp>42667.3333333333</stp>
        <tr r="AY176" s="15"/>
      </tp>
      <tp t="s">
        <v/>
        <stp/>
        <stp>*H</stp>
        <stp>ICE</stp>
        <stp>OpenInt</stp>
        <stp/>
        <stp>42664.3333333333</stp>
        <tr r="AY177" s="15"/>
      </tp>
      <tp t="s">
        <v/>
        <stp/>
        <stp>*H</stp>
        <stp>ICE</stp>
        <stp>OpenInt</stp>
        <stp/>
        <stp>42668.3333333333</stp>
        <tr r="AY175" s="15"/>
      </tp>
      <tp t="s">
        <v/>
        <stp/>
        <stp>*H</stp>
        <stp>ICE</stp>
        <stp>OpenInt</stp>
        <stp/>
        <stp>42669.3333333333</stp>
        <tr r="AY174" s="15"/>
      </tp>
      <tp t="s">
        <v/>
        <stp/>
        <stp>*H</stp>
        <stp>ICE</stp>
        <stp>OpenInt</stp>
        <stp/>
        <stp>42670.3333333333</stp>
        <tr r="AY173" s="15"/>
      </tp>
      <tp t="s">
        <v/>
        <stp/>
        <stp>*H</stp>
        <stp>ICE</stp>
        <stp>OpenInt</stp>
        <stp/>
        <stp>42671.3333333333</stp>
        <tr r="AY172" s="15"/>
      </tp>
      <tp t="s">
        <v/>
        <stp/>
        <stp>*H</stp>
        <stp>ICE</stp>
        <stp>OpenInt</stp>
        <stp/>
        <stp>42676.3333333333</stp>
        <tr r="AY169" s="15"/>
      </tp>
      <tp t="s">
        <v/>
        <stp/>
        <stp>*H</stp>
        <stp>ICE</stp>
        <stp>OpenInt</stp>
        <stp/>
        <stp>42677.3333333333</stp>
        <tr r="AY168" s="15"/>
      </tp>
      <tp t="s">
        <v/>
        <stp/>
        <stp>*H</stp>
        <stp>ICE</stp>
        <stp>OpenInt</stp>
        <stp/>
        <stp>42674.3333333333</stp>
        <tr r="AY171" s="15"/>
      </tp>
      <tp t="s">
        <v/>
        <stp/>
        <stp>*H</stp>
        <stp>ICE</stp>
        <stp>OpenInt</stp>
        <stp/>
        <stp>42675.3333333333</stp>
        <tr r="AY170" s="15"/>
      </tp>
      <tp t="s">
        <v/>
        <stp/>
        <stp>*H</stp>
        <stp>ICE</stp>
        <stp>OpenInt</stp>
        <stp/>
        <stp>42678.3333333333</stp>
        <tr r="AY167" s="15"/>
      </tp>
      <tp t="s">
        <v/>
        <stp/>
        <stp>*H</stp>
        <stp>ICE</stp>
        <stp>OpenInt</stp>
        <stp/>
        <stp>42642.3333333333</stp>
        <tr r="AY193" s="15"/>
      </tp>
      <tp t="s">
        <v/>
        <stp/>
        <stp>*H</stp>
        <stp>ICE</stp>
        <stp>OpenInt</stp>
        <stp/>
        <stp>42643.3333333333</stp>
        <tr r="AY192" s="15"/>
      </tp>
      <tp t="s">
        <v/>
        <stp/>
        <stp>*H</stp>
        <stp>ICE</stp>
        <stp>OpenInt</stp>
        <stp/>
        <stp>42640.3333333333</stp>
        <tr r="AY195" s="15"/>
      </tp>
      <tp t="s">
        <v/>
        <stp/>
        <stp>*H</stp>
        <stp>ICE</stp>
        <stp>OpenInt</stp>
        <stp/>
        <stp>42641.3333333333</stp>
        <tr r="AY194" s="15"/>
      </tp>
      <tp t="s">
        <v/>
        <stp/>
        <stp>*H</stp>
        <stp>ICE</stp>
        <stp>OpenInt</stp>
        <stp/>
        <stp>42646.3333333333</stp>
        <tr r="AY191" s="15"/>
      </tp>
      <tp t="s">
        <v/>
        <stp/>
        <stp>*H</stp>
        <stp>ICE</stp>
        <stp>OpenInt</stp>
        <stp/>
        <stp>42647.3333333333</stp>
        <tr r="AY190" s="15"/>
      </tp>
      <tp t="s">
        <v/>
        <stp/>
        <stp>*H</stp>
        <stp>ICE</stp>
        <stp>OpenInt</stp>
        <stp/>
        <stp>42648.3333333333</stp>
        <tr r="AY189" s="15"/>
      </tp>
      <tp t="s">
        <v/>
        <stp/>
        <stp>*H</stp>
        <stp>ICE</stp>
        <stp>OpenInt</stp>
        <stp/>
        <stp>42649.3333333333</stp>
        <tr r="AY188" s="15"/>
      </tp>
      <tp t="s">
        <v/>
        <stp/>
        <stp>*H</stp>
        <stp>ICE</stp>
        <stp>OpenInt</stp>
        <stp/>
        <stp>42653.3333333333</stp>
        <tr r="AY186" s="15"/>
      </tp>
      <tp t="s">
        <v/>
        <stp/>
        <stp>*H</stp>
        <stp>ICE</stp>
        <stp>OpenInt</stp>
        <stp/>
        <stp>42650.3333333333</stp>
        <tr r="AY187" s="15"/>
      </tp>
      <tp t="s">
        <v/>
        <stp/>
        <stp>*H</stp>
        <stp>ICE</stp>
        <stp>OpenInt</stp>
        <stp/>
        <stp>42656.3333333333</stp>
        <tr r="AY183" s="15"/>
      </tp>
      <tp t="s">
        <v/>
        <stp/>
        <stp>*H</stp>
        <stp>ICE</stp>
        <stp>OpenInt</stp>
        <stp/>
        <stp>42657.3333333333</stp>
        <tr r="AY182" s="15"/>
      </tp>
      <tp t="s">
        <v/>
        <stp/>
        <stp>*H</stp>
        <stp>ICE</stp>
        <stp>OpenInt</stp>
        <stp/>
        <stp>42654.3333333333</stp>
        <tr r="AY185" s="15"/>
      </tp>
      <tp t="s">
        <v/>
        <stp/>
        <stp>*H</stp>
        <stp>ICE</stp>
        <stp>OpenInt</stp>
        <stp/>
        <stp>42655.3333333333</stp>
        <tr r="AY184" s="15"/>
      </tp>
      <tp t="s">
        <v/>
        <stp/>
        <stp>*H</stp>
        <stp>ICE</stp>
        <stp>OpenInt</stp>
        <stp/>
        <stp>42622.3333333333</stp>
        <tr r="AY207" s="15"/>
      </tp>
      <tp t="s">
        <v/>
        <stp/>
        <stp>*H</stp>
        <stp>ICE</stp>
        <stp>OpenInt</stp>
        <stp/>
        <stp>42795.2916666667</stp>
        <tr r="AY89" s="15"/>
      </tp>
      <tp t="s">
        <v/>
        <stp/>
        <stp>*H</stp>
        <stp>ICE</stp>
        <stp>OpenInt</stp>
        <stp/>
        <stp>42794.2916666667</stp>
        <tr r="AY90" s="15"/>
      </tp>
      <tp t="s">
        <v/>
        <stp/>
        <stp>*H</stp>
        <stp>ICE</stp>
        <stp>OpenInt</stp>
        <stp/>
        <stp>42620.3333333333</stp>
        <tr r="AY209" s="15"/>
      </tp>
      <tp t="s">
        <v/>
        <stp/>
        <stp>*H</stp>
        <stp>ICE</stp>
        <stp>OpenInt</stp>
        <stp/>
        <stp>42797.2916666667</stp>
        <tr r="AY87" s="15"/>
      </tp>
      <tp t="s">
        <v/>
        <stp/>
        <stp>*H</stp>
        <stp>ICE</stp>
        <stp>OpenInt</stp>
        <stp/>
        <stp>42621.3333333333</stp>
        <tr r="AY208" s="15"/>
      </tp>
      <tp t="s">
        <v/>
        <stp/>
        <stp>*H</stp>
        <stp>ICE</stp>
        <stp>OpenInt</stp>
        <stp/>
        <stp>42796.2916666667</stp>
        <tr r="AY88" s="15"/>
      </tp>
      <tp t="s">
        <v/>
        <stp/>
        <stp>*H</stp>
        <stp>ICE</stp>
        <stp>OpenInt</stp>
        <stp/>
        <stp>42626.3333333333</stp>
        <tr r="AY205" s="15"/>
      </tp>
      <tp t="s">
        <v/>
        <stp/>
        <stp>*H</stp>
        <stp>ICE</stp>
        <stp>OpenInt</stp>
        <stp/>
        <stp>42627.3333333333</stp>
        <tr r="AY204" s="15"/>
      </tp>
      <tp t="s">
        <v/>
        <stp/>
        <stp>*H</stp>
        <stp>ICE</stp>
        <stp>OpenInt</stp>
        <stp/>
        <stp>42790.2916666667</stp>
        <tr r="AY92" s="15"/>
      </tp>
      <tp t="s">
        <v/>
        <stp/>
        <stp>*H</stp>
        <stp>ICE</stp>
        <stp>OpenInt</stp>
        <stp/>
        <stp>42793.2916666667</stp>
        <tr r="AY91" s="15"/>
      </tp>
      <tp t="s">
        <v/>
        <stp/>
        <stp>*H</stp>
        <stp>ICE</stp>
        <stp>OpenInt</stp>
        <stp/>
        <stp>42625.3333333333</stp>
        <tr r="AY206" s="15"/>
      </tp>
      <tp t="s">
        <v/>
        <stp/>
        <stp>*H</stp>
        <stp>ICE</stp>
        <stp>OpenInt</stp>
        <stp/>
        <stp>42628.3333333333</stp>
        <tr r="AY203" s="15"/>
      </tp>
      <tp t="s">
        <v/>
        <stp/>
        <stp>*H</stp>
        <stp>ICE</stp>
        <stp>OpenInt</stp>
        <stp/>
        <stp>42629.3333333333</stp>
        <tr r="AY202" s="15"/>
      </tp>
      <tp t="s">
        <v/>
        <stp/>
        <stp>*H</stp>
        <stp>ICE</stp>
        <stp>OpenInt</stp>
        <stp/>
        <stp>42632.3333333333</stp>
        <tr r="AY201" s="15"/>
      </tp>
      <tp t="s">
        <v/>
        <stp/>
        <stp>*H</stp>
        <stp>ICE</stp>
        <stp>OpenInt</stp>
        <stp/>
        <stp>42633.3333333333</stp>
        <tr r="AY200" s="15"/>
      </tp>
      <tp t="s">
        <v/>
        <stp/>
        <stp>*H</stp>
        <stp>ICE</stp>
        <stp>OpenInt</stp>
        <stp/>
        <stp>42787.2916666667</stp>
        <tr r="AY95" s="15"/>
      </tp>
      <tp t="s">
        <v/>
        <stp/>
        <stp>*H</stp>
        <stp>ICE</stp>
        <stp>OpenInt</stp>
        <stp/>
        <stp>42636.3333333333</stp>
        <tr r="AY197" s="15"/>
      </tp>
      <tp t="s">
        <v/>
        <stp/>
        <stp>*H</stp>
        <stp>ICE</stp>
        <stp>OpenInt</stp>
        <stp/>
        <stp>42781.2916666667</stp>
        <tr r="AY98" s="15"/>
      </tp>
      <tp t="s">
        <v/>
        <stp/>
        <stp>*H</stp>
        <stp>ICE</stp>
        <stp>OpenInt</stp>
        <stp/>
        <stp>42780.2916666667</stp>
        <tr r="AY99" s="15"/>
      </tp>
      <tp t="s">
        <v/>
        <stp/>
        <stp>*H</stp>
        <stp>ICE</stp>
        <stp>OpenInt</stp>
        <stp/>
        <stp>42634.3333333333</stp>
        <tr r="AY199" s="15"/>
      </tp>
      <tp t="s">
        <v/>
        <stp/>
        <stp>*H</stp>
        <stp>ICE</stp>
        <stp>OpenInt</stp>
        <stp/>
        <stp>42783.2916666667</stp>
        <tr r="AY96" s="15"/>
      </tp>
      <tp t="s">
        <v/>
        <stp/>
        <stp>*H</stp>
        <stp>ICE</stp>
        <stp>OpenInt</stp>
        <stp/>
        <stp>42635.3333333333</stp>
        <tr r="AY198" s="15"/>
      </tp>
      <tp t="s">
        <v/>
        <stp/>
        <stp>*H</stp>
        <stp>ICE</stp>
        <stp>OpenInt</stp>
        <stp/>
        <stp>42782.2916666667</stp>
        <tr r="AY97" s="15"/>
      </tp>
      <tp t="s">
        <v/>
        <stp/>
        <stp>*H</stp>
        <stp>ICE</stp>
        <stp>OpenInt</stp>
        <stp/>
        <stp>42639.3333333333</stp>
        <tr r="AY196" s="15"/>
      </tp>
      <tp t="s">
        <v/>
        <stp/>
        <stp>*H</stp>
        <stp>ICE</stp>
        <stp>OpenInt</stp>
        <stp/>
        <stp>42789.2916666667</stp>
        <tr r="AY93" s="15"/>
      </tp>
      <tp t="s">
        <v/>
        <stp/>
        <stp>*H</stp>
        <stp>ICE</stp>
        <stp>OpenInt</stp>
        <stp/>
        <stp>42788.2916666667</stp>
        <tr r="AY94" s="15"/>
      </tp>
      <tp t="s">
        <v/>
        <stp/>
        <stp>*H</stp>
        <stp>ICE</stp>
        <stp>OpenInt</stp>
        <stp/>
        <stp>42600.3333333333</stp>
        <tr r="AY222" s="15"/>
      </tp>
      <tp t="s">
        <v/>
        <stp/>
        <stp>*H</stp>
        <stp>ICE</stp>
        <stp>OpenInt</stp>
        <stp/>
        <stp>42601.3333333333</stp>
        <tr r="AY221" s="15"/>
      </tp>
      <tp t="s">
        <v/>
        <stp/>
        <stp>*H</stp>
        <stp>ICE</stp>
        <stp>OpenInt</stp>
        <stp/>
        <stp>42606.3333333333</stp>
        <tr r="AY218" s="15"/>
      </tp>
      <tp t="s">
        <v/>
        <stp/>
        <stp>*H</stp>
        <stp>ICE</stp>
        <stp>OpenInt</stp>
        <stp/>
        <stp>42607.3333333333</stp>
        <tr r="AY217" s="15"/>
      </tp>
      <tp t="s">
        <v/>
        <stp/>
        <stp>*H</stp>
        <stp>ICE</stp>
        <stp>OpenInt</stp>
        <stp/>
        <stp>42604.3333333333</stp>
        <tr r="AY220" s="15"/>
      </tp>
      <tp t="s">
        <v/>
        <stp/>
        <stp>*H</stp>
        <stp>ICE</stp>
        <stp>OpenInt</stp>
        <stp/>
        <stp>42605.3333333333</stp>
        <tr r="AY219" s="15"/>
      </tp>
      <tp t="s">
        <v/>
        <stp/>
        <stp>*H</stp>
        <stp>ICE</stp>
        <stp>OpenInt</stp>
        <stp/>
        <stp>42608.3333333333</stp>
        <tr r="AY216" s="15"/>
      </tp>
      <tp t="s">
        <v/>
        <stp/>
        <stp>*H</stp>
        <stp>ICE</stp>
        <stp>OpenInt</stp>
        <stp/>
        <stp>42612.3333333333</stp>
        <tr r="AY214" s="15"/>
      </tp>
      <tp t="s">
        <v/>
        <stp/>
        <stp>*H</stp>
        <stp>ICE</stp>
        <stp>OpenInt</stp>
        <stp/>
        <stp>42613.3333333333</stp>
        <tr r="AY213" s="15"/>
      </tp>
      <tp t="s">
        <v/>
        <stp/>
        <stp>*H</stp>
        <stp>ICE</stp>
        <stp>OpenInt</stp>
        <stp/>
        <stp>42611.3333333333</stp>
        <tr r="AY215" s="15"/>
      </tp>
      <tp t="s">
        <v/>
        <stp/>
        <stp>*H</stp>
        <stp>ICE</stp>
        <stp>OpenInt</stp>
        <stp/>
        <stp>42614.3333333333</stp>
        <tr r="AY212" s="15"/>
      </tp>
      <tp t="s">
        <v/>
        <stp/>
        <stp>*H</stp>
        <stp>ICE</stp>
        <stp>OpenInt</stp>
        <stp/>
        <stp>42615.3333333333</stp>
        <tr r="AY211" s="15"/>
      </tp>
      <tp t="s">
        <v/>
        <stp/>
        <stp>*H</stp>
        <stp>ICE</stp>
        <stp>OpenInt</stp>
        <stp/>
        <stp>42619.3333333333</stp>
        <tr r="AY210" s="15"/>
      </tp>
      <tp t="s">
        <v/>
        <stp/>
        <stp>*H</stp>
        <stp>ICE</stp>
        <stp>OpenInt</stp>
        <stp/>
        <stp>42755.2916666667</stp>
        <tr r="AY116" s="15"/>
      </tp>
      <tp t="s">
        <v/>
        <stp/>
        <stp>*H</stp>
        <stp>ICE</stp>
        <stp>OpenInt</stp>
        <stp/>
        <stp>42754.2916666667</stp>
        <tr r="AY117" s="15"/>
      </tp>
      <tp t="s">
        <v/>
        <stp/>
        <stp>*H</stp>
        <stp>ICE</stp>
        <stp>OpenInt</stp>
        <stp/>
        <stp>42753.2916666667</stp>
        <tr r="AY118" s="15"/>
      </tp>
      <tp t="s">
        <v/>
        <stp/>
        <stp>*H</stp>
        <stp>ICE</stp>
        <stp>OpenInt</stp>
        <stp/>
        <stp>42752.2916666667</stp>
        <tr r="AY119" s="15"/>
      </tp>
      <tp t="s">
        <v/>
        <stp/>
        <stp>*H</stp>
        <stp>ICE</stp>
        <stp>OpenInt</stp>
        <stp/>
        <stp>42759.2916666667</stp>
        <tr r="AY114" s="15"/>
      </tp>
      <tp t="s">
        <v/>
        <stp/>
        <stp>*H</stp>
        <stp>ICE</stp>
        <stp>OpenInt</stp>
        <stp/>
        <stp>42758.2916666667</stp>
        <tr r="AY115" s="15"/>
      </tp>
      <tp t="s">
        <v/>
        <stp/>
        <stp>*H</stp>
        <stp>ICE</stp>
        <stp>OpenInt</stp>
        <stp/>
        <stp>42745.2916666667</stp>
        <tr r="AY123" s="15"/>
      </tp>
      <tp t="s">
        <v/>
        <stp/>
        <stp>*H</stp>
        <stp>ICE</stp>
        <stp>OpenInt</stp>
        <stp/>
        <stp>42744.2916666667</stp>
        <tr r="AY124" s="15"/>
      </tp>
      <tp t="s">
        <v/>
        <stp/>
        <stp>*H</stp>
        <stp>ICE</stp>
        <stp>OpenInt</stp>
        <stp/>
        <stp>42747.2916666667</stp>
        <tr r="AY121" s="15"/>
      </tp>
      <tp t="s">
        <v/>
        <stp/>
        <stp>*H</stp>
        <stp>ICE</stp>
        <stp>OpenInt</stp>
        <stp/>
        <stp>42746.2916666667</stp>
        <tr r="AY122" s="15"/>
      </tp>
      <tp t="s">
        <v/>
        <stp/>
        <stp>*H</stp>
        <stp>ICE</stp>
        <stp>OpenInt</stp>
        <stp/>
        <stp>42741.2916666667</stp>
        <tr r="AY125" s="15"/>
      </tp>
      <tp t="s">
        <v/>
        <stp/>
        <stp>*H</stp>
        <stp>ICE</stp>
        <stp>OpenInt</stp>
        <stp/>
        <stp>42740.2916666667</stp>
        <tr r="AY126" s="15"/>
      </tp>
      <tp t="s">
        <v/>
        <stp/>
        <stp>*H</stp>
        <stp>ICE</stp>
        <stp>OpenInt</stp>
        <stp/>
        <stp>42748.2916666667</stp>
        <tr r="AY120" s="15"/>
      </tp>
      <tp t="s">
        <v/>
        <stp/>
        <stp>*H</stp>
        <stp>ICE</stp>
        <stp>OpenInt</stp>
        <stp/>
        <stp>42775.2916666667</stp>
        <tr r="AY102" s="15"/>
      </tp>
      <tp t="s">
        <v/>
        <stp/>
        <stp>*H</stp>
        <stp>ICE</stp>
        <stp>OpenInt</stp>
        <stp/>
        <stp>42774.2916666667</stp>
        <tr r="AY103" s="15"/>
      </tp>
      <tp t="s">
        <v/>
        <stp/>
        <stp>*H</stp>
        <stp>ICE</stp>
        <stp>OpenInt</stp>
        <stp/>
        <stp>42776.2916666667</stp>
        <tr r="AY101" s="15"/>
      </tp>
      <tp t="s">
        <v/>
        <stp/>
        <stp>*H</stp>
        <stp>ICE</stp>
        <stp>OpenInt</stp>
        <stp/>
        <stp>42773.2916666667</stp>
        <tr r="AY104" s="15"/>
      </tp>
      <tp t="s">
        <v/>
        <stp/>
        <stp>*H</stp>
        <stp>ICE</stp>
        <stp>OpenInt</stp>
        <stp/>
        <stp>42772.2916666667</stp>
        <tr r="AY105" s="15"/>
      </tp>
      <tp t="s">
        <v/>
        <stp/>
        <stp>*H</stp>
        <stp>ICE</stp>
        <stp>OpenInt</stp>
        <stp/>
        <stp>42779.2916666667</stp>
        <tr r="AY100" s="15"/>
      </tp>
      <tp t="s">
        <v/>
        <stp/>
        <stp>*H</stp>
        <stp>ICE</stp>
        <stp>OpenInt</stp>
        <stp/>
        <stp>42765.2916666667</stp>
        <tr r="AY110" s="15"/>
      </tp>
      <tp t="s">
        <v/>
        <stp/>
        <stp>*H</stp>
        <stp>ICE</stp>
        <stp>OpenInt</stp>
        <stp/>
        <stp>42767.2916666667</stp>
        <tr r="AY108" s="15"/>
      </tp>
      <tp t="s">
        <v/>
        <stp/>
        <stp>*H</stp>
        <stp>ICE</stp>
        <stp>OpenInt</stp>
        <stp/>
        <stp>42766.2916666667</stp>
        <tr r="AY109" s="15"/>
      </tp>
      <tp t="s">
        <v/>
        <stp/>
        <stp>*H</stp>
        <stp>ICE</stp>
        <stp>OpenInt</stp>
        <stp/>
        <stp>42761.2916666667</stp>
        <tr r="AY112" s="15"/>
      </tp>
      <tp t="s">
        <v/>
        <stp/>
        <stp>*H</stp>
        <stp>ICE</stp>
        <stp>OpenInt</stp>
        <stp/>
        <stp>42760.2916666667</stp>
        <tr r="AY113" s="15"/>
      </tp>
      <tp t="s">
        <v/>
        <stp/>
        <stp>*H</stp>
        <stp>ICE</stp>
        <stp>OpenInt</stp>
        <stp/>
        <stp>42762.2916666667</stp>
        <tr r="AY111" s="15"/>
      </tp>
      <tp t="s">
        <v/>
        <stp/>
        <stp>*H</stp>
        <stp>ICE</stp>
        <stp>OpenInt</stp>
        <stp/>
        <stp>42769.2916666667</stp>
        <tr r="AY106" s="15"/>
      </tp>
      <tp t="s">
        <v/>
        <stp/>
        <stp>*H</stp>
        <stp>ICE</stp>
        <stp>OpenInt</stp>
        <stp/>
        <stp>42768.2916666667</stp>
        <tr r="AY107" s="15"/>
      </tp>
      <tp t="s">
        <v/>
        <stp/>
        <stp>*H</stp>
        <stp>ICE</stp>
        <stp>OpenInt</stp>
        <stp/>
        <stp>42717.2916666667</stp>
        <tr r="AY141" s="15"/>
      </tp>
      <tp t="s">
        <v/>
        <stp/>
        <stp>*H</stp>
        <stp>ICE</stp>
        <stp>OpenInt</stp>
        <stp/>
        <stp>42716.2916666667</stp>
        <tr r="AY142" s="15"/>
      </tp>
      <tp t="s">
        <v/>
        <stp/>
        <stp>*H</stp>
        <stp>ICE</stp>
        <stp>OpenInt</stp>
        <stp/>
        <stp>42711.2916666667</stp>
        <tr r="AY145" s="15"/>
      </tp>
      <tp t="s">
        <v/>
        <stp/>
        <stp>*H</stp>
        <stp>ICE</stp>
        <stp>OpenInt</stp>
        <stp/>
        <stp>42710.2916666667</stp>
        <tr r="AY146" s="15"/>
      </tp>
      <tp t="s">
        <v/>
        <stp/>
        <stp>*H</stp>
        <stp>ICE</stp>
        <stp>OpenInt</stp>
        <stp/>
        <stp>42713.2916666667</stp>
        <tr r="AY143" s="15"/>
      </tp>
      <tp t="s">
        <v/>
        <stp/>
        <stp>*H</stp>
        <stp>ICE</stp>
        <stp>OpenInt</stp>
        <stp/>
        <stp>42712.2916666667</stp>
        <tr r="AY144" s="15"/>
      </tp>
      <tp t="s">
        <v/>
        <stp/>
        <stp>*H</stp>
        <stp>ICE</stp>
        <stp>OpenInt</stp>
        <stp/>
        <stp>42719.2916666667</stp>
        <tr r="AY139" s="15"/>
      </tp>
      <tp t="s">
        <v/>
        <stp/>
        <stp>*H</stp>
        <stp>ICE</stp>
        <stp>OpenInt</stp>
        <stp/>
        <stp>42718.2916666667</stp>
        <tr r="AY140" s="15"/>
      </tp>
      <tp t="s">
        <v/>
        <stp/>
        <stp>*H</stp>
        <stp>ICE</stp>
        <stp>OpenInt</stp>
        <stp/>
        <stp>42705.2916666667</stp>
        <tr r="AY149" s="15"/>
      </tp>
      <tp t="s">
        <v/>
        <stp/>
        <stp>*H</stp>
        <stp>ICE</stp>
        <stp>OpenInt</stp>
        <stp/>
        <stp>42704.2916666667</stp>
        <tr r="AY150" s="15"/>
      </tp>
      <tp t="s">
        <v/>
        <stp/>
        <stp>*H</stp>
        <stp>ICE</stp>
        <stp>OpenInt</stp>
        <stp/>
        <stp>42706.2916666667</stp>
        <tr r="AY148" s="15"/>
      </tp>
      <tp t="s">
        <v/>
        <stp/>
        <stp>*H</stp>
        <stp>ICE</stp>
        <stp>OpenInt</stp>
        <stp/>
        <stp>42703.2916666667</stp>
        <tr r="AY151" s="15"/>
      </tp>
      <tp t="s">
        <v/>
        <stp/>
        <stp>*H</stp>
        <stp>ICE</stp>
        <stp>OpenInt</stp>
        <stp/>
        <stp>42702.2916666667</stp>
        <tr r="AY152" s="15"/>
      </tp>
      <tp t="s">
        <v/>
        <stp/>
        <stp>*H</stp>
        <stp>ICE</stp>
        <stp>OpenInt</stp>
        <stp/>
        <stp>42709.2916666667</stp>
        <tr r="AY147" s="15"/>
      </tp>
      <tp t="s">
        <v/>
        <stp/>
        <stp>*H</stp>
        <stp>ICE</stp>
        <stp>OpenInt</stp>
        <stp/>
        <stp>42734.2916666667</stp>
        <tr r="AY129" s="15"/>
      </tp>
      <tp t="s">
        <v/>
        <stp/>
        <stp>*H</stp>
        <stp>ICE</stp>
        <stp>OpenInt</stp>
        <stp/>
        <stp>42731.2916666667</stp>
        <tr r="AY132" s="15"/>
      </tp>
      <tp t="s">
        <v/>
        <stp/>
        <stp>*H</stp>
        <stp>ICE</stp>
        <stp>OpenInt</stp>
        <stp/>
        <stp>42733.2916666667</stp>
        <tr r="AY130" s="15"/>
      </tp>
      <tp t="s">
        <v/>
        <stp/>
        <stp>*H</stp>
        <stp>ICE</stp>
        <stp>OpenInt</stp>
        <stp/>
        <stp>42732.2916666667</stp>
        <tr r="AY131" s="15"/>
      </tp>
      <tp t="s">
        <v/>
        <stp/>
        <stp>*H</stp>
        <stp>ICE</stp>
        <stp>OpenInt</stp>
        <stp/>
        <stp>42739.2916666667</stp>
        <tr r="AY127" s="15"/>
      </tp>
      <tp t="s">
        <v/>
        <stp/>
        <stp>*H</stp>
        <stp>ICE</stp>
        <stp>OpenInt</stp>
        <stp/>
        <stp>42738.2916666667</stp>
        <tr r="AY128" s="15"/>
      </tp>
      <tp t="s">
        <v/>
        <stp/>
        <stp>*H</stp>
        <stp>ICE</stp>
        <stp>OpenInt</stp>
        <stp/>
        <stp>42725.2916666667</stp>
        <tr r="AY135" s="15"/>
      </tp>
      <tp t="s">
        <v/>
        <stp/>
        <stp>*H</stp>
        <stp>ICE</stp>
        <stp>OpenInt</stp>
        <stp/>
        <stp>42724.2916666667</stp>
        <tr r="AY136" s="15"/>
      </tp>
      <tp t="s">
        <v/>
        <stp/>
        <stp>*H</stp>
        <stp>ICE</stp>
        <stp>OpenInt</stp>
        <stp/>
        <stp>42727.2916666667</stp>
        <tr r="AY133" s="15"/>
      </tp>
      <tp t="s">
        <v/>
        <stp/>
        <stp>*H</stp>
        <stp>ICE</stp>
        <stp>OpenInt</stp>
        <stp/>
        <stp>42726.2916666667</stp>
        <tr r="AY134" s="15"/>
      </tp>
      <tp t="s">
        <v/>
        <stp/>
        <stp>*H</stp>
        <stp>ICE</stp>
        <stp>OpenInt</stp>
        <stp/>
        <stp>42720.2916666667</stp>
        <tr r="AY138" s="15"/>
      </tp>
      <tp t="s">
        <v/>
        <stp/>
        <stp>*H</stp>
        <stp>ICE</stp>
        <stp>OpenInt</stp>
        <stp/>
        <stp>42723.2916666667</stp>
        <tr r="AY137" s="15"/>
      </tp>
      <tp t="s">
        <v/>
        <stp/>
        <stp>*H</stp>
        <stp>ICE</stp>
        <stp>OpenInt</stp>
        <stp/>
        <stp>42695.2916666667</stp>
        <tr r="AY156" s="15"/>
      </tp>
      <tp t="s">
        <v/>
        <stp/>
        <stp>*H</stp>
        <stp>ICE</stp>
        <stp>OpenInt</stp>
        <stp/>
        <stp>42697.2916666667</stp>
        <tr r="AY154" s="15"/>
      </tp>
      <tp t="s">
        <v/>
        <stp/>
        <stp>*H</stp>
        <stp>ICE</stp>
        <stp>OpenInt</stp>
        <stp/>
        <stp>42696.2916666667</stp>
        <tr r="AY155" s="15"/>
      </tp>
      <tp t="s">
        <v/>
        <stp/>
        <stp>*H</stp>
        <stp>ICE</stp>
        <stp>OpenInt</stp>
        <stp/>
        <stp>42691.2916666667</stp>
        <tr r="AY158" s="15"/>
      </tp>
      <tp t="s">
        <v/>
        <stp/>
        <stp>*H</stp>
        <stp>ICE</stp>
        <stp>OpenInt</stp>
        <stp/>
        <stp>42690.2916666667</stp>
        <tr r="AY159" s="15"/>
      </tp>
      <tp t="s">
        <v/>
        <stp/>
        <stp>*H</stp>
        <stp>ICE</stp>
        <stp>OpenInt</stp>
        <stp/>
        <stp>42692.2916666667</stp>
        <tr r="AY157" s="15"/>
      </tp>
      <tp t="s">
        <v/>
        <stp/>
        <stp>*H</stp>
        <stp>ICE</stp>
        <stp>OpenInt</stp>
        <stp/>
        <stp>42699.2916666667</stp>
        <tr r="AY153" s="15"/>
      </tp>
      <tp t="s">
        <v/>
        <stp/>
        <stp>*H</stp>
        <stp>ICE</stp>
        <stp>OpenInt</stp>
        <stp/>
        <stp>42685.2916666667</stp>
        <tr r="AY162" s="15"/>
      </tp>
      <tp t="s">
        <v/>
        <stp/>
        <stp>*H</stp>
        <stp>ICE</stp>
        <stp>OpenInt</stp>
        <stp/>
        <stp>42684.2916666667</stp>
        <tr r="AY163" s="15"/>
      </tp>
      <tp t="s">
        <v/>
        <stp/>
        <stp>*H</stp>
        <stp>ICE</stp>
        <stp>OpenInt</stp>
        <stp/>
        <stp>42681.2916666667</stp>
        <tr r="AY166" s="15"/>
      </tp>
      <tp t="s">
        <v/>
        <stp/>
        <stp>*H</stp>
        <stp>ICE</stp>
        <stp>OpenInt</stp>
        <stp/>
        <stp>42683.2916666667</stp>
        <tr r="AY164" s="15"/>
      </tp>
      <tp t="s">
        <v/>
        <stp/>
        <stp>*H</stp>
        <stp>ICE</stp>
        <stp>OpenInt</stp>
        <stp/>
        <stp>42682.2916666667</stp>
        <tr r="AY165" s="15"/>
      </tp>
      <tp t="s">
        <v/>
        <stp/>
        <stp>*H</stp>
        <stp>ICE</stp>
        <stp>OpenInt</stp>
        <stp/>
        <stp>42689.2916666667</stp>
        <tr r="AY160" s="15"/>
      </tp>
      <tp t="s">
        <v/>
        <stp/>
        <stp>*H</stp>
        <stp>ICE</stp>
        <stp>OpenInt</stp>
        <stp/>
        <stp>42688.2916666667</stp>
        <tr r="AY161" s="15"/>
      </tp>
      <tp>
        <v>3.13</v>
        <stp/>
        <stp>ICE</stp>
        <stp>PRD_Ratio</stp>
        <tr r="H42" s="15"/>
      </tp>
      <tp>
        <v>108.85</v>
        <stp/>
        <stp>ICE</stp>
        <stp>Low</stp>
        <tr r="H14" s="15"/>
      </tp>
      <tp>
        <v>44867.833333333336</v>
        <stp/>
        <stp>ICE</stp>
        <stp>EPSNextQtrDt</stp>
        <tr r="H31" s="15"/>
      </tp>
      <tp>
        <v>109.6</v>
        <stp/>
        <stp>ICE</stp>
        <stp>Ask</stp>
        <tr r="H11" s="15"/>
      </tp>
      <tp>
        <v>109.58</v>
        <stp/>
        <stp>ICE</stp>
        <stp>Bid</stp>
        <tr r="H10" s="15"/>
      </tp>
      <tp>
        <v>6.0072000000000001</v>
        <stp/>
        <stp>ICE</stp>
        <stp>EPS</stp>
        <tr r="H28" s="15"/>
      </tp>
      <tp>
        <v>139.79</v>
        <stp/>
        <stp>ICE</stp>
        <stp>52Wk High</stp>
        <tr r="K34" s="15"/>
      </tp>
      <tp>
        <v>1.32</v>
        <stp/>
        <stp>ICE</stp>
        <stp>EPSPrevQtr</stp>
        <tr r="H35" s="15"/>
      </tp>
      <tp>
        <v>112.05</v>
        <stp/>
        <stp>ICE</stp>
        <stp>High</stp>
        <tr r="H13" s="15"/>
      </tp>
      <tp>
        <v>18.244772999999999</v>
        <stp/>
        <stp>ICE</stp>
        <stp>PE</stp>
        <tr r="H24" s="15"/>
      </tp>
      <tp>
        <v>112.62</v>
        <stp/>
        <stp>ICE</stp>
        <stp>PrevPrice</stp>
        <tr r="H15" s="15"/>
      </tp>
      <tp>
        <v>109.6</v>
        <stp/>
        <stp>ICE</stp>
        <stp>Last</stp>
        <tr r="H8" s="15"/>
      </tp>
      <tp>
        <v>6.2763540000000004</v>
        <stp/>
        <stp>ICE</stp>
        <stp>EPSN2Fy</stp>
        <tr r="H34" s="15"/>
      </tp>
      <tp>
        <v>42720.291666666664</v>
        <stp/>
        <stp>*HT</stp>
        <stp>ICE</stp>
        <stp>D[tl:Union]</stp>
        <stp>300;6/27/2017</stp>
        <stp>168</stp>
        <tr r="AV138" s="15"/>
      </tp>
      <tp>
        <v>42723.291666666664</v>
        <stp/>
        <stp>*HT</stp>
        <stp>ICE</stp>
        <stp>D[tl:Union]</stp>
        <stp>300;6/27/2017</stp>
        <stp>169</stp>
        <tr r="AV137" s="15"/>
      </tp>
      <tp>
        <v>42718.291666666664</v>
        <stp/>
        <stp>*HT</stp>
        <stp>ICE</stp>
        <stp>D[tl:Union]</stp>
        <stp>300;6/27/2017</stp>
        <stp>166</stp>
        <tr r="AV140" s="15"/>
      </tp>
      <tp>
        <v>42719.291666666664</v>
        <stp/>
        <stp>*HT</stp>
        <stp>ICE</stp>
        <stp>D[tl:Union]</stp>
        <stp>300;6/27/2017</stp>
        <stp>167</stp>
        <tr r="AV139" s="15"/>
      </tp>
      <tp>
        <v>42716.291666666664</v>
        <stp/>
        <stp>*HT</stp>
        <stp>ICE</stp>
        <stp>D[tl:Union]</stp>
        <stp>300;6/27/2017</stp>
        <stp>164</stp>
        <tr r="AV142" s="15"/>
      </tp>
      <tp>
        <v>42717.291666666664</v>
        <stp/>
        <stp>*HT</stp>
        <stp>ICE</stp>
        <stp>D[tl:Union]</stp>
        <stp>300;6/27/2017</stp>
        <stp>165</stp>
        <tr r="AV141" s="15"/>
      </tp>
      <tp>
        <v>42712.291666666664</v>
        <stp/>
        <stp>*HT</stp>
        <stp>ICE</stp>
        <stp>D[tl:Union]</stp>
        <stp>300;6/27/2017</stp>
        <stp>162</stp>
        <tr r="AV144" s="15"/>
      </tp>
      <tp>
        <v>42713.291666666664</v>
        <stp/>
        <stp>*HT</stp>
        <stp>ICE</stp>
        <stp>D[tl:Union]</stp>
        <stp>300;6/27/2017</stp>
        <stp>163</stp>
        <tr r="AV143" s="15"/>
      </tp>
      <tp>
        <v>42710.291666666664</v>
        <stp/>
        <stp>*HT</stp>
        <stp>ICE</stp>
        <stp>D[tl:Union]</stp>
        <stp>300;6/27/2017</stp>
        <stp>160</stp>
        <tr r="AV146" s="15"/>
      </tp>
      <tp>
        <v>42711.291666666664</v>
        <stp/>
        <stp>*HT</stp>
        <stp>ICE</stp>
        <stp>D[tl:Union]</stp>
        <stp>300;6/27/2017</stp>
        <stp>161</stp>
        <tr r="AV145" s="15"/>
      </tp>
      <tp>
        <v>42738.291666666664</v>
        <stp/>
        <stp>*HT</stp>
        <stp>ICE</stp>
        <stp>D[tl:Union]</stp>
        <stp>300;6/27/2017</stp>
        <stp>178</stp>
        <tr r="AV128" s="15"/>
      </tp>
      <tp>
        <v>42739.291666666664</v>
        <stp/>
        <stp>*HT</stp>
        <stp>ICE</stp>
        <stp>D[tl:Union]</stp>
        <stp>300;6/27/2017</stp>
        <stp>179</stp>
        <tr r="AV127" s="15"/>
      </tp>
      <tp>
        <v>42733.291666666664</v>
        <stp/>
        <stp>*HT</stp>
        <stp>ICE</stp>
        <stp>D[tl:Union]</stp>
        <stp>300;6/27/2017</stp>
        <stp>176</stp>
        <tr r="AV130" s="15"/>
      </tp>
      <tp>
        <v>42734.291666666664</v>
        <stp/>
        <stp>*HT</stp>
        <stp>ICE</stp>
        <stp>D[tl:Union]</stp>
        <stp>300;6/27/2017</stp>
        <stp>177</stp>
        <tr r="AV129" s="15"/>
      </tp>
      <tp>
        <v>42731.291666666664</v>
        <stp/>
        <stp>*HT</stp>
        <stp>ICE</stp>
        <stp>D[tl:Union]</stp>
        <stp>300;6/27/2017</stp>
        <stp>174</stp>
        <tr r="AV132" s="15"/>
      </tp>
      <tp>
        <v>42732.291666666664</v>
        <stp/>
        <stp>*HT</stp>
        <stp>ICE</stp>
        <stp>D[tl:Union]</stp>
        <stp>300;6/27/2017</stp>
        <stp>175</stp>
        <tr r="AV131" s="15"/>
      </tp>
      <tp>
        <v>42726.291666666664</v>
        <stp/>
        <stp>*HT</stp>
        <stp>ICE</stp>
        <stp>D[tl:Union]</stp>
        <stp>300;6/27/2017</stp>
        <stp>172</stp>
        <tr r="AV134" s="15"/>
      </tp>
      <tp>
        <v>42727.291666666664</v>
        <stp/>
        <stp>*HT</stp>
        <stp>ICE</stp>
        <stp>D[tl:Union]</stp>
        <stp>300;6/27/2017</stp>
        <stp>173</stp>
        <tr r="AV133" s="15"/>
      </tp>
      <tp>
        <v>42724.291666666664</v>
        <stp/>
        <stp>*HT</stp>
        <stp>ICE</stp>
        <stp>D[tl:Union]</stp>
        <stp>300;6/27/2017</stp>
        <stp>170</stp>
        <tr r="AV136" s="15"/>
      </tp>
      <tp>
        <v>42725.291666666664</v>
        <stp/>
        <stp>*HT</stp>
        <stp>ICE</stp>
        <stp>D[tl:Union]</stp>
        <stp>300;6/27/2017</stp>
        <stp>171</stp>
        <tr r="AV135" s="15"/>
      </tp>
      <tp>
        <v>42691.291666666664</v>
        <stp/>
        <stp>*HT</stp>
        <stp>ICE</stp>
        <stp>D[tl:Union]</stp>
        <stp>300;6/27/2017</stp>
        <stp>148</stp>
        <tr r="AV158" s="15"/>
      </tp>
      <tp>
        <v>42692.291666666664</v>
        <stp/>
        <stp>*HT</stp>
        <stp>ICE</stp>
        <stp>D[tl:Union]</stp>
        <stp>300;6/27/2017</stp>
        <stp>149</stp>
        <tr r="AV157" s="15"/>
      </tp>
      <tp>
        <v>42689.291666666664</v>
        <stp/>
        <stp>*HT</stp>
        <stp>ICE</stp>
        <stp>D[tl:Union]</stp>
        <stp>300;6/27/2017</stp>
        <stp>146</stp>
        <tr r="AV160" s="15"/>
      </tp>
      <tp>
        <v>42690.291666666664</v>
        <stp/>
        <stp>*HT</stp>
        <stp>ICE</stp>
        <stp>D[tl:Union]</stp>
        <stp>300;6/27/2017</stp>
        <stp>147</stp>
        <tr r="AV159" s="15"/>
      </tp>
      <tp>
        <v>42685.291666666664</v>
        <stp/>
        <stp>*HT</stp>
        <stp>ICE</stp>
        <stp>D[tl:Union]</stp>
        <stp>300;6/27/2017</stp>
        <stp>144</stp>
        <tr r="AV162" s="15"/>
      </tp>
      <tp>
        <v>42688.291666666664</v>
        <stp/>
        <stp>*HT</stp>
        <stp>ICE</stp>
        <stp>D[tl:Union]</stp>
        <stp>300;6/27/2017</stp>
        <stp>145</stp>
        <tr r="AV161" s="15"/>
      </tp>
      <tp>
        <v>42683.291666666664</v>
        <stp/>
        <stp>*HT</stp>
        <stp>ICE</stp>
        <stp>D[tl:Union]</stp>
        <stp>300;6/27/2017</stp>
        <stp>142</stp>
        <tr r="AV164" s="15"/>
      </tp>
      <tp>
        <v>42684.291666666664</v>
        <stp/>
        <stp>*HT</stp>
        <stp>ICE</stp>
        <stp>D[tl:Union]</stp>
        <stp>300;6/27/2017</stp>
        <stp>143</stp>
        <tr r="AV163" s="15"/>
      </tp>
      <tp>
        <v>42681.291666666664</v>
        <stp/>
        <stp>*HT</stp>
        <stp>ICE</stp>
        <stp>D[tl:Union]</stp>
        <stp>300;6/27/2017</stp>
        <stp>140</stp>
        <tr r="AV166" s="15"/>
      </tp>
      <tp>
        <v>42682.291666666664</v>
        <stp/>
        <stp>*HT</stp>
        <stp>ICE</stp>
        <stp>D[tl:Union]</stp>
        <stp>300;6/27/2017</stp>
        <stp>141</stp>
        <tr r="AV165" s="15"/>
      </tp>
      <tp>
        <v>42706.291666666664</v>
        <stp/>
        <stp>*HT</stp>
        <stp>ICE</stp>
        <stp>D[tl:Union]</stp>
        <stp>300;6/27/2017</stp>
        <stp>158</stp>
        <tr r="AV148" s="15"/>
      </tp>
      <tp>
        <v>42709.291666666664</v>
        <stp/>
        <stp>*HT</stp>
        <stp>ICE</stp>
        <stp>D[tl:Union]</stp>
        <stp>300;6/27/2017</stp>
        <stp>159</stp>
        <tr r="AV147" s="15"/>
      </tp>
      <tp>
        <v>42704.291666666664</v>
        <stp/>
        <stp>*HT</stp>
        <stp>ICE</stp>
        <stp>D[tl:Union]</stp>
        <stp>300;6/27/2017</stp>
        <stp>156</stp>
        <tr r="AV150" s="15"/>
      </tp>
      <tp>
        <v>42705.291666666664</v>
        <stp/>
        <stp>*HT</stp>
        <stp>ICE</stp>
        <stp>D[tl:Union]</stp>
        <stp>300;6/27/2017</stp>
        <stp>157</stp>
        <tr r="AV149" s="15"/>
      </tp>
      <tp>
        <v>42702.291666666664</v>
        <stp/>
        <stp>*HT</stp>
        <stp>ICE</stp>
        <stp>D[tl:Union]</stp>
        <stp>300;6/27/2017</stp>
        <stp>154</stp>
        <tr r="AV152" s="15"/>
      </tp>
      <tp>
        <v>42703.291666666664</v>
        <stp/>
        <stp>*HT</stp>
        <stp>ICE</stp>
        <stp>D[tl:Union]</stp>
        <stp>300;6/27/2017</stp>
        <stp>155</stp>
        <tr r="AV151" s="15"/>
      </tp>
      <tp>
        <v>42697.291666666664</v>
        <stp/>
        <stp>*HT</stp>
        <stp>ICE</stp>
        <stp>D[tl:Union]</stp>
        <stp>300;6/27/2017</stp>
        <stp>152</stp>
        <tr r="AV154" s="15"/>
      </tp>
      <tp>
        <v>42699.291666666664</v>
        <stp/>
        <stp>*HT</stp>
        <stp>ICE</stp>
        <stp>D[tl:Union]</stp>
        <stp>300;6/27/2017</stp>
        <stp>153</stp>
        <tr r="AV153" s="15"/>
      </tp>
      <tp>
        <v>42695.291666666664</v>
        <stp/>
        <stp>*HT</stp>
        <stp>ICE</stp>
        <stp>D[tl:Union]</stp>
        <stp>300;6/27/2017</stp>
        <stp>150</stp>
        <tr r="AV156" s="15"/>
      </tp>
      <tp>
        <v>42696.291666666664</v>
        <stp/>
        <stp>*HT</stp>
        <stp>ICE</stp>
        <stp>D[tl:Union]</stp>
        <stp>300;6/27/2017</stp>
        <stp>151</stp>
        <tr r="AV155" s="15"/>
      </tp>
      <tp>
        <v>42663.333333333336</v>
        <stp/>
        <stp>*HT</stp>
        <stp>ICE</stp>
        <stp>D[tl:Union]</stp>
        <stp>300;6/27/2017</stp>
        <stp>128</stp>
        <tr r="AV178" s="15"/>
      </tp>
      <tp>
        <v>42664.333333333336</v>
        <stp/>
        <stp>*HT</stp>
        <stp>ICE</stp>
        <stp>D[tl:Union]</stp>
        <stp>300;6/27/2017</stp>
        <stp>129</stp>
        <tr r="AV177" s="15"/>
      </tp>
      <tp>
        <v>42661.333333333336</v>
        <stp/>
        <stp>*HT</stp>
        <stp>ICE</stp>
        <stp>D[tl:Union]</stp>
        <stp>300;6/27/2017</stp>
        <stp>126</stp>
        <tr r="AV180" s="15"/>
      </tp>
      <tp>
        <v>42662.333333333336</v>
        <stp/>
        <stp>*HT</stp>
        <stp>ICE</stp>
        <stp>D[tl:Union]</stp>
        <stp>300;6/27/2017</stp>
        <stp>127</stp>
        <tr r="AV179" s="15"/>
      </tp>
      <tp>
        <v>42657.333333333336</v>
        <stp/>
        <stp>*HT</stp>
        <stp>ICE</stp>
        <stp>D[tl:Union]</stp>
        <stp>300;6/27/2017</stp>
        <stp>124</stp>
        <tr r="AV182" s="15"/>
      </tp>
      <tp>
        <v>42660.333333333336</v>
        <stp/>
        <stp>*HT</stp>
        <stp>ICE</stp>
        <stp>D[tl:Union]</stp>
        <stp>300;6/27/2017</stp>
        <stp>125</stp>
        <tr r="AV181" s="15"/>
      </tp>
      <tp>
        <v>42655.333333333336</v>
        <stp/>
        <stp>*HT</stp>
        <stp>ICE</stp>
        <stp>D[tl:Union]</stp>
        <stp>300;6/27/2017</stp>
        <stp>122</stp>
        <tr r="AV184" s="15"/>
      </tp>
      <tp>
        <v>42656.333333333336</v>
        <stp/>
        <stp>*HT</stp>
        <stp>ICE</stp>
        <stp>D[tl:Union]</stp>
        <stp>300;6/27/2017</stp>
        <stp>123</stp>
        <tr r="AV183" s="15"/>
      </tp>
      <tp>
        <v>42653.333333333336</v>
        <stp/>
        <stp>*HT</stp>
        <stp>ICE</stp>
        <stp>D[tl:Union]</stp>
        <stp>300;6/27/2017</stp>
        <stp>120</stp>
        <tr r="AV186" s="15"/>
      </tp>
      <tp>
        <v>42654.333333333336</v>
        <stp/>
        <stp>*HT</stp>
        <stp>ICE</stp>
        <stp>D[tl:Union]</stp>
        <stp>300;6/27/2017</stp>
        <stp>121</stp>
        <tr r="AV185" s="15"/>
      </tp>
      <tp>
        <v>42677.333333333336</v>
        <stp/>
        <stp>*HT</stp>
        <stp>ICE</stp>
        <stp>D[tl:Union]</stp>
        <stp>300;6/27/2017</stp>
        <stp>138</stp>
        <tr r="AV168" s="15"/>
      </tp>
      <tp>
        <v>42678.333333333336</v>
        <stp/>
        <stp>*HT</stp>
        <stp>ICE</stp>
        <stp>D[tl:Union]</stp>
        <stp>300;6/27/2017</stp>
        <stp>139</stp>
        <tr r="AV167" s="15"/>
      </tp>
      <tp>
        <v>42675.333333333336</v>
        <stp/>
        <stp>*HT</stp>
        <stp>ICE</stp>
        <stp>D[tl:Union]</stp>
        <stp>300;6/27/2017</stp>
        <stp>136</stp>
        <tr r="AV170" s="15"/>
      </tp>
      <tp>
        <v>42676.333333333336</v>
        <stp/>
        <stp>*HT</stp>
        <stp>ICE</stp>
        <stp>D[tl:Union]</stp>
        <stp>300;6/27/2017</stp>
        <stp>137</stp>
        <tr r="AV169" s="15"/>
      </tp>
      <tp>
        <v>42671.333333333336</v>
        <stp/>
        <stp>*HT</stp>
        <stp>ICE</stp>
        <stp>D[tl:Union]</stp>
        <stp>300;6/27/2017</stp>
        <stp>134</stp>
        <tr r="AV172" s="15"/>
      </tp>
      <tp>
        <v>42674.333333333336</v>
        <stp/>
        <stp>*HT</stp>
        <stp>ICE</stp>
        <stp>D[tl:Union]</stp>
        <stp>300;6/27/2017</stp>
        <stp>135</stp>
        <tr r="AV171" s="15"/>
      </tp>
      <tp>
        <v>42669.333333333336</v>
        <stp/>
        <stp>*HT</stp>
        <stp>ICE</stp>
        <stp>D[tl:Union]</stp>
        <stp>300;6/27/2017</stp>
        <stp>132</stp>
        <tr r="AV174" s="15"/>
      </tp>
      <tp>
        <v>42670.333333333336</v>
        <stp/>
        <stp>*HT</stp>
        <stp>ICE</stp>
        <stp>D[tl:Union]</stp>
        <stp>300;6/27/2017</stp>
        <stp>133</stp>
        <tr r="AV173" s="15"/>
      </tp>
      <tp>
        <v>42667.333333333336</v>
        <stp/>
        <stp>*HT</stp>
        <stp>ICE</stp>
        <stp>D[tl:Union]</stp>
        <stp>300;6/27/2017</stp>
        <stp>130</stp>
        <tr r="AV176" s="15"/>
      </tp>
      <tp>
        <v>42668.333333333336</v>
        <stp/>
        <stp>*HT</stp>
        <stp>ICE</stp>
        <stp>D[tl:Union]</stp>
        <stp>300;6/27/2017</stp>
        <stp>131</stp>
        <tr r="AV175" s="15"/>
      </tp>
      <tp>
        <v>42635.333333333336</v>
        <stp/>
        <stp>*HT</stp>
        <stp>ICE</stp>
        <stp>D[tl:Union]</stp>
        <stp>300;6/27/2017</stp>
        <stp>108</stp>
        <tr r="AV198" s="15"/>
      </tp>
      <tp>
        <v>42636.333333333336</v>
        <stp/>
        <stp>*HT</stp>
        <stp>ICE</stp>
        <stp>D[tl:Union]</stp>
        <stp>300;6/27/2017</stp>
        <stp>109</stp>
        <tr r="AV197" s="15"/>
      </tp>
      <tp>
        <v>42633.333333333336</v>
        <stp/>
        <stp>*HT</stp>
        <stp>ICE</stp>
        <stp>D[tl:Union]</stp>
        <stp>300;6/27/2017</stp>
        <stp>106</stp>
        <tr r="AV200" s="15"/>
      </tp>
      <tp>
        <v>42634.333333333336</v>
        <stp/>
        <stp>*HT</stp>
        <stp>ICE</stp>
        <stp>D[tl:Union]</stp>
        <stp>300;6/27/2017</stp>
        <stp>107</stp>
        <tr r="AV199" s="15"/>
      </tp>
      <tp>
        <v>42629.333333333336</v>
        <stp/>
        <stp>*HT</stp>
        <stp>ICE</stp>
        <stp>D[tl:Union]</stp>
        <stp>300;6/27/2017</stp>
        <stp>104</stp>
        <tr r="AV202" s="15"/>
      </tp>
      <tp>
        <v>42632.333333333336</v>
        <stp/>
        <stp>*HT</stp>
        <stp>ICE</stp>
        <stp>D[tl:Union]</stp>
        <stp>300;6/27/2017</stp>
        <stp>105</stp>
        <tr r="AV201" s="15"/>
      </tp>
      <tp>
        <v>42627.333333333336</v>
        <stp/>
        <stp>*HT</stp>
        <stp>ICE</stp>
        <stp>D[tl:Union]</stp>
        <stp>300;6/27/2017</stp>
        <stp>102</stp>
        <tr r="AV204" s="15"/>
      </tp>
      <tp>
        <v>42628.333333333336</v>
        <stp/>
        <stp>*HT</stp>
        <stp>ICE</stp>
        <stp>D[tl:Union]</stp>
        <stp>300;6/27/2017</stp>
        <stp>103</stp>
        <tr r="AV203" s="15"/>
      </tp>
      <tp>
        <v>42625.333333333336</v>
        <stp/>
        <stp>*HT</stp>
        <stp>ICE</stp>
        <stp>D[tl:Union]</stp>
        <stp>300;6/27/2017</stp>
        <stp>100</stp>
        <tr r="AV206" s="15"/>
      </tp>
      <tp>
        <v>42626.333333333336</v>
        <stp/>
        <stp>*HT</stp>
        <stp>ICE</stp>
        <stp>D[tl:Union]</stp>
        <stp>300;6/27/2017</stp>
        <stp>101</stp>
        <tr r="AV205" s="15"/>
      </tp>
      <tp>
        <v>42649.333333333336</v>
        <stp/>
        <stp>*HT</stp>
        <stp>ICE</stp>
        <stp>D[tl:Union]</stp>
        <stp>300;6/27/2017</stp>
        <stp>118</stp>
        <tr r="AV188" s="15"/>
      </tp>
      <tp>
        <v>42650.333333333336</v>
        <stp/>
        <stp>*HT</stp>
        <stp>ICE</stp>
        <stp>D[tl:Union]</stp>
        <stp>300;6/27/2017</stp>
        <stp>119</stp>
        <tr r="AV187" s="15"/>
      </tp>
      <tp>
        <v>42647.333333333336</v>
        <stp/>
        <stp>*HT</stp>
        <stp>ICE</stp>
        <stp>D[tl:Union]</stp>
        <stp>300;6/27/2017</stp>
        <stp>116</stp>
        <tr r="AV190" s="15"/>
      </tp>
      <tp>
        <v>42648.333333333336</v>
        <stp/>
        <stp>*HT</stp>
        <stp>ICE</stp>
        <stp>D[tl:Union]</stp>
        <stp>300;6/27/2017</stp>
        <stp>117</stp>
        <tr r="AV189" s="15"/>
      </tp>
      <tp>
        <v>42643.333333333336</v>
        <stp/>
        <stp>*HT</stp>
        <stp>ICE</stp>
        <stp>D[tl:Union]</stp>
        <stp>300;6/27/2017</stp>
        <stp>114</stp>
        <tr r="AV192" s="15"/>
      </tp>
      <tp>
        <v>42646.333333333336</v>
        <stp/>
        <stp>*HT</stp>
        <stp>ICE</stp>
        <stp>D[tl:Union]</stp>
        <stp>300;6/27/2017</stp>
        <stp>115</stp>
        <tr r="AV191" s="15"/>
      </tp>
      <tp>
        <v>42641.333333333336</v>
        <stp/>
        <stp>*HT</stp>
        <stp>ICE</stp>
        <stp>D[tl:Union]</stp>
        <stp>300;6/27/2017</stp>
        <stp>112</stp>
        <tr r="AV194" s="15"/>
      </tp>
      <tp>
        <v>42642.333333333336</v>
        <stp/>
        <stp>*HT</stp>
        <stp>ICE</stp>
        <stp>D[tl:Union]</stp>
        <stp>300;6/27/2017</stp>
        <stp>113</stp>
        <tr r="AV193" s="15"/>
      </tp>
      <tp>
        <v>42639.333333333336</v>
        <stp/>
        <stp>*HT</stp>
        <stp>ICE</stp>
        <stp>D[tl:Union]</stp>
        <stp>300;6/27/2017</stp>
        <stp>110</stp>
        <tr r="AV196" s="15"/>
      </tp>
      <tp>
        <v>42640.333333333336</v>
        <stp/>
        <stp>*HT</stp>
        <stp>ICE</stp>
        <stp>D[tl:Union]</stp>
        <stp>300;6/27/2017</stp>
        <stp>111</stp>
        <tr r="AV195" s="15"/>
      </tp>
      <tp>
        <v>42753.291666666664</v>
        <stp/>
        <stp>*HT</stp>
        <stp>ICE</stp>
        <stp>D[tl:Union]</stp>
        <stp>300;6/27/2017</stp>
        <stp>188</stp>
        <tr r="AV118" s="15"/>
      </tp>
      <tp>
        <v>42754.291666666664</v>
        <stp/>
        <stp>*HT</stp>
        <stp>ICE</stp>
        <stp>D[tl:Union]</stp>
        <stp>300;6/27/2017</stp>
        <stp>189</stp>
        <tr r="AV117" s="15"/>
      </tp>
      <tp>
        <v>42748.291666666664</v>
        <stp/>
        <stp>*HT</stp>
        <stp>ICE</stp>
        <stp>D[tl:Union]</stp>
        <stp>300;6/27/2017</stp>
        <stp>186</stp>
        <tr r="AV120" s="15"/>
      </tp>
      <tp>
        <v>42752.291666666664</v>
        <stp/>
        <stp>*HT</stp>
        <stp>ICE</stp>
        <stp>D[tl:Union]</stp>
        <stp>300;6/27/2017</stp>
        <stp>187</stp>
        <tr r="AV119" s="15"/>
      </tp>
      <tp>
        <v>42746.291666666664</v>
        <stp/>
        <stp>*HT</stp>
        <stp>ICE</stp>
        <stp>D[tl:Union]</stp>
        <stp>300;6/27/2017</stp>
        <stp>184</stp>
        <tr r="AV122" s="15"/>
      </tp>
      <tp>
        <v>42747.291666666664</v>
        <stp/>
        <stp>*HT</stp>
        <stp>ICE</stp>
        <stp>D[tl:Union]</stp>
        <stp>300;6/27/2017</stp>
        <stp>185</stp>
        <tr r="AV121" s="15"/>
      </tp>
      <tp>
        <v>42744.291666666664</v>
        <stp/>
        <stp>*HT</stp>
        <stp>ICE</stp>
        <stp>D[tl:Union]</stp>
        <stp>300;6/27/2017</stp>
        <stp>182</stp>
        <tr r="AV124" s="15"/>
      </tp>
      <tp>
        <v>42745.291666666664</v>
        <stp/>
        <stp>*HT</stp>
        <stp>ICE</stp>
        <stp>D[tl:Union]</stp>
        <stp>300;6/27/2017</stp>
        <stp>183</stp>
        <tr r="AV123" s="15"/>
      </tp>
      <tp>
        <v>42740.291666666664</v>
        <stp/>
        <stp>*HT</stp>
        <stp>ICE</stp>
        <stp>D[tl:Union]</stp>
        <stp>300;6/27/2017</stp>
        <stp>180</stp>
        <tr r="AV126" s="15"/>
      </tp>
      <tp>
        <v>42741.291666666664</v>
        <stp/>
        <stp>*HT</stp>
        <stp>ICE</stp>
        <stp>D[tl:Union]</stp>
        <stp>300;6/27/2017</stp>
        <stp>181</stp>
        <tr r="AV125" s="15"/>
      </tp>
      <tp>
        <v>42767.291666666664</v>
        <stp/>
        <stp>*HT</stp>
        <stp>ICE</stp>
        <stp>D[tl:Union]</stp>
        <stp>300;6/27/2017</stp>
        <stp>198</stp>
        <tr r="AV108" s="15"/>
      </tp>
      <tp>
        <v>42768.291666666664</v>
        <stp/>
        <stp>*HT</stp>
        <stp>ICE</stp>
        <stp>D[tl:Union]</stp>
        <stp>300;6/27/2017</stp>
        <stp>199</stp>
        <tr r="AV107" s="15"/>
      </tp>
      <tp>
        <v>42765.291666666664</v>
        <stp/>
        <stp>*HT</stp>
        <stp>ICE</stp>
        <stp>D[tl:Union]</stp>
        <stp>300;6/27/2017</stp>
        <stp>196</stp>
        <tr r="AV110" s="15"/>
      </tp>
      <tp>
        <v>42766.291666666664</v>
        <stp/>
        <stp>*HT</stp>
        <stp>ICE</stp>
        <stp>D[tl:Union]</stp>
        <stp>300;6/27/2017</stp>
        <stp>197</stp>
        <tr r="AV109" s="15"/>
      </tp>
      <tp>
        <v>42761.291666666664</v>
        <stp/>
        <stp>*HT</stp>
        <stp>ICE</stp>
        <stp>D[tl:Union]</stp>
        <stp>300;6/27/2017</stp>
        <stp>194</stp>
        <tr r="AV112" s="15"/>
      </tp>
      <tp>
        <v>42762.291666666664</v>
        <stp/>
        <stp>*HT</stp>
        <stp>ICE</stp>
        <stp>D[tl:Union]</stp>
        <stp>300;6/27/2017</stp>
        <stp>195</stp>
        <tr r="AV111" s="15"/>
      </tp>
      <tp>
        <v>42759.291666666664</v>
        <stp/>
        <stp>*HT</stp>
        <stp>ICE</stp>
        <stp>D[tl:Union]</stp>
        <stp>300;6/27/2017</stp>
        <stp>192</stp>
        <tr r="AV114" s="15"/>
      </tp>
      <tp>
        <v>42760.291666666664</v>
        <stp/>
        <stp>*HT</stp>
        <stp>ICE</stp>
        <stp>D[tl:Union]</stp>
        <stp>300;6/27/2017</stp>
        <stp>193</stp>
        <tr r="AV113" s="15"/>
      </tp>
      <tp>
        <v>42755.291666666664</v>
        <stp/>
        <stp>*HT</stp>
        <stp>ICE</stp>
        <stp>D[tl:Union]</stp>
        <stp>300;6/27/2017</stp>
        <stp>190</stp>
        <tr r="AV116" s="15"/>
      </tp>
      <tp>
        <v>42758.291666666664</v>
        <stp/>
        <stp>*HT</stp>
        <stp>ICE</stp>
        <stp>D[tl:Union]</stp>
        <stp>300;6/27/2017</stp>
        <stp>191</stp>
        <tr r="AV115" s="15"/>
      </tp>
      <tp>
        <v>90.05</v>
        <stp/>
        <stp>ICE</stp>
        <stp>52Wk Low</stp>
        <tr r="K35" s="15"/>
      </tp>
      <tp>
        <v>42867.333333333336</v>
        <stp/>
        <stp>*HT</stp>
        <stp>ICE</stp>
        <stp>D[tl:Union]</stp>
        <stp>300;6/27/2017</stp>
        <stp>268</stp>
        <tr r="AV38" s="15"/>
      </tp>
      <tp>
        <v>42870.333333333336</v>
        <stp/>
        <stp>*HT</stp>
        <stp>ICE</stp>
        <stp>D[tl:Union]</stp>
        <stp>300;6/27/2017</stp>
        <stp>269</stp>
        <tr r="AV37" s="15"/>
      </tp>
      <tp>
        <v>42865.333333333336</v>
        <stp/>
        <stp>*HT</stp>
        <stp>ICE</stp>
        <stp>D[tl:Union]</stp>
        <stp>300;6/27/2017</stp>
        <stp>266</stp>
        <tr r="AV40" s="15"/>
      </tp>
      <tp>
        <v>42866.333333333336</v>
        <stp/>
        <stp>*HT</stp>
        <stp>ICE</stp>
        <stp>D[tl:Union]</stp>
        <stp>300;6/27/2017</stp>
        <stp>267</stp>
        <tr r="AV39" s="15"/>
      </tp>
      <tp>
        <v>42863.333333333336</v>
        <stp/>
        <stp>*HT</stp>
        <stp>ICE</stp>
        <stp>D[tl:Union]</stp>
        <stp>300;6/27/2017</stp>
        <stp>264</stp>
        <tr r="AV42" s="15"/>
      </tp>
      <tp>
        <v>42864.333333333336</v>
        <stp/>
        <stp>*HT</stp>
        <stp>ICE</stp>
        <stp>D[tl:Union]</stp>
        <stp>300;6/27/2017</stp>
        <stp>265</stp>
        <tr r="AV41" s="15"/>
      </tp>
      <tp>
        <v>42859.333333333336</v>
        <stp/>
        <stp>*HT</stp>
        <stp>ICE</stp>
        <stp>D[tl:Union]</stp>
        <stp>300;6/27/2017</stp>
        <stp>262</stp>
        <tr r="AV44" s="15"/>
      </tp>
      <tp>
        <v>42860.333333333336</v>
        <stp/>
        <stp>*HT</stp>
        <stp>ICE</stp>
        <stp>D[tl:Union]</stp>
        <stp>300;6/27/2017</stp>
        <stp>263</stp>
        <tr r="AV43" s="15"/>
      </tp>
      <tp>
        <v>42857.333333333336</v>
        <stp/>
        <stp>*HT</stp>
        <stp>ICE</stp>
        <stp>D[tl:Union]</stp>
        <stp>300;6/27/2017</stp>
        <stp>260</stp>
        <tr r="AV46" s="15"/>
      </tp>
      <tp>
        <v>42858.333333333336</v>
        <stp/>
        <stp>*HT</stp>
        <stp>ICE</stp>
        <stp>D[tl:Union]</stp>
        <stp>300;6/27/2017</stp>
        <stp>261</stp>
        <tr r="AV45" s="15"/>
      </tp>
      <tp>
        <v>42881.333333333336</v>
        <stp/>
        <stp>*HT</stp>
        <stp>ICE</stp>
        <stp>D[tl:Union]</stp>
        <stp>300;6/27/2017</stp>
        <stp>278</stp>
        <tr r="AV28" s="15"/>
      </tp>
      <tp>
        <v>42885.333333333336</v>
        <stp/>
        <stp>*HT</stp>
        <stp>ICE</stp>
        <stp>D[tl:Union]</stp>
        <stp>300;6/27/2017</stp>
        <stp>279</stp>
        <tr r="AV27" s="15"/>
      </tp>
      <tp>
        <v>42879.333333333336</v>
        <stp/>
        <stp>*HT</stp>
        <stp>ICE</stp>
        <stp>D[tl:Union]</stp>
        <stp>300;6/27/2017</stp>
        <stp>276</stp>
        <tr r="AV30" s="15"/>
      </tp>
      <tp>
        <v>42880.333333333336</v>
        <stp/>
        <stp>*HT</stp>
        <stp>ICE</stp>
        <stp>D[tl:Union]</stp>
        <stp>300;6/27/2017</stp>
        <stp>277</stp>
        <tr r="AV29" s="15"/>
      </tp>
      <tp>
        <v>42877.333333333336</v>
        <stp/>
        <stp>*HT</stp>
        <stp>ICE</stp>
        <stp>D[tl:Union]</stp>
        <stp>300;6/27/2017</stp>
        <stp>274</stp>
        <tr r="AV32" s="15"/>
      </tp>
      <tp>
        <v>42878.333333333336</v>
        <stp/>
        <stp>*HT</stp>
        <stp>ICE</stp>
        <stp>D[tl:Union]</stp>
        <stp>300;6/27/2017</stp>
        <stp>275</stp>
        <tr r="AV31" s="15"/>
      </tp>
      <tp>
        <v>42873.333333333336</v>
        <stp/>
        <stp>*HT</stp>
        <stp>ICE</stp>
        <stp>D[tl:Union]</stp>
        <stp>300;6/27/2017</stp>
        <stp>272</stp>
        <tr r="AV34" s="15"/>
      </tp>
      <tp>
        <v>42874.333333333336</v>
        <stp/>
        <stp>*HT</stp>
        <stp>ICE</stp>
        <stp>D[tl:Union]</stp>
        <stp>300;6/27/2017</stp>
        <stp>273</stp>
        <tr r="AV33" s="15"/>
      </tp>
      <tp>
        <v>42871.333333333336</v>
        <stp/>
        <stp>*HT</stp>
        <stp>ICE</stp>
        <stp>D[tl:Union]</stp>
        <stp>300;6/27/2017</stp>
        <stp>270</stp>
        <tr r="AV36" s="15"/>
      </tp>
      <tp>
        <v>42872.333333333336</v>
        <stp/>
        <stp>*HT</stp>
        <stp>ICE</stp>
        <stp>D[tl:Union]</stp>
        <stp>300;6/27/2017</stp>
        <stp>271</stp>
        <tr r="AV35" s="15"/>
      </tp>
      <tp>
        <v>42838.333333333336</v>
        <stp/>
        <stp>*HT</stp>
        <stp>ICE</stp>
        <stp>D[tl:Union]</stp>
        <stp>300;6/27/2017</stp>
        <stp>248</stp>
        <tr r="AV58" s="15"/>
      </tp>
      <tp>
        <v>42842.333333333336</v>
        <stp/>
        <stp>*HT</stp>
        <stp>ICE</stp>
        <stp>D[tl:Union]</stp>
        <stp>300;6/27/2017</stp>
        <stp>249</stp>
        <tr r="AV57" s="15"/>
      </tp>
      <tp>
        <v>42836.333333333336</v>
        <stp/>
        <stp>*HT</stp>
        <stp>ICE</stp>
        <stp>D[tl:Union]</stp>
        <stp>300;6/27/2017</stp>
        <stp>246</stp>
        <tr r="AV60" s="15"/>
      </tp>
      <tp>
        <v>42837.333333333336</v>
        <stp/>
        <stp>*HT</stp>
        <stp>ICE</stp>
        <stp>D[tl:Union]</stp>
        <stp>300;6/27/2017</stp>
        <stp>247</stp>
        <tr r="AV59" s="15"/>
      </tp>
      <tp>
        <v>42832.333333333336</v>
        <stp/>
        <stp>*HT</stp>
        <stp>ICE</stp>
        <stp>D[tl:Union]</stp>
        <stp>300;6/27/2017</stp>
        <stp>244</stp>
        <tr r="AV62" s="15"/>
      </tp>
      <tp>
        <v>42835.333333333336</v>
        <stp/>
        <stp>*HT</stp>
        <stp>ICE</stp>
        <stp>D[tl:Union]</stp>
        <stp>300;6/27/2017</stp>
        <stp>245</stp>
        <tr r="AV61" s="15"/>
      </tp>
      <tp>
        <v>42830.333333333336</v>
        <stp/>
        <stp>*HT</stp>
        <stp>ICE</stp>
        <stp>D[tl:Union]</stp>
        <stp>300;6/27/2017</stp>
        <stp>242</stp>
        <tr r="AV64" s="15"/>
      </tp>
      <tp>
        <v>42831.333333333336</v>
        <stp/>
        <stp>*HT</stp>
        <stp>ICE</stp>
        <stp>D[tl:Union]</stp>
        <stp>300;6/27/2017</stp>
        <stp>243</stp>
        <tr r="AV63" s="15"/>
      </tp>
      <tp>
        <v>42828.333333333336</v>
        <stp/>
        <stp>*HT</stp>
        <stp>ICE</stp>
        <stp>D[tl:Union]</stp>
        <stp>300;6/27/2017</stp>
        <stp>240</stp>
        <tr r="AV66" s="15"/>
      </tp>
      <tp>
        <v>42829.333333333336</v>
        <stp/>
        <stp>*HT</stp>
        <stp>ICE</stp>
        <stp>D[tl:Union]</stp>
        <stp>300;6/27/2017</stp>
        <stp>241</stp>
        <tr r="AV65" s="15"/>
      </tp>
      <tp>
        <v>42853.333333333336</v>
        <stp/>
        <stp>*HT</stp>
        <stp>ICE</stp>
        <stp>D[tl:Union]</stp>
        <stp>300;6/27/2017</stp>
        <stp>258</stp>
        <tr r="AV48" s="15"/>
      </tp>
      <tp>
        <v>42856.333333333336</v>
        <stp/>
        <stp>*HT</stp>
        <stp>ICE</stp>
        <stp>D[tl:Union]</stp>
        <stp>300;6/27/2017</stp>
        <stp>259</stp>
        <tr r="AV47" s="15"/>
      </tp>
      <tp>
        <v>42851.333333333336</v>
        <stp/>
        <stp>*HT</stp>
        <stp>ICE</stp>
        <stp>D[tl:Union]</stp>
        <stp>300;6/27/2017</stp>
        <stp>256</stp>
        <tr r="AV50" s="15"/>
      </tp>
      <tp>
        <v>42852.333333333336</v>
        <stp/>
        <stp>*HT</stp>
        <stp>ICE</stp>
        <stp>D[tl:Union]</stp>
        <stp>300;6/27/2017</stp>
        <stp>257</stp>
        <tr r="AV49" s="15"/>
      </tp>
      <tp>
        <v>42849.333333333336</v>
        <stp/>
        <stp>*HT</stp>
        <stp>ICE</stp>
        <stp>D[tl:Union]</stp>
        <stp>300;6/27/2017</stp>
        <stp>254</stp>
        <tr r="AV52" s="15"/>
      </tp>
      <tp>
        <v>42850.333333333336</v>
        <stp/>
        <stp>*HT</stp>
        <stp>ICE</stp>
        <stp>D[tl:Union]</stp>
        <stp>300;6/27/2017</stp>
        <stp>255</stp>
        <tr r="AV51" s="15"/>
      </tp>
      <tp>
        <v>42845.333333333336</v>
        <stp/>
        <stp>*HT</stp>
        <stp>ICE</stp>
        <stp>D[tl:Union]</stp>
        <stp>300;6/27/2017</stp>
        <stp>252</stp>
        <tr r="AV54" s="15"/>
      </tp>
      <tp>
        <v>42846.333333333336</v>
        <stp/>
        <stp>*HT</stp>
        <stp>ICE</stp>
        <stp>D[tl:Union]</stp>
        <stp>300;6/27/2017</stp>
        <stp>253</stp>
        <tr r="AV53" s="15"/>
      </tp>
      <tp>
        <v>42843.333333333336</v>
        <stp/>
        <stp>*HT</stp>
        <stp>ICE</stp>
        <stp>D[tl:Union]</stp>
        <stp>300;6/27/2017</stp>
        <stp>250</stp>
        <tr r="AV56" s="15"/>
      </tp>
      <tp>
        <v>42844.333333333336</v>
        <stp/>
        <stp>*HT</stp>
        <stp>ICE</stp>
        <stp>D[tl:Union]</stp>
        <stp>300;6/27/2017</stp>
        <stp>251</stp>
        <tr r="AV55" s="15"/>
      </tp>
      <tp>
        <v>42810.333333333336</v>
        <stp/>
        <stp>*HT</stp>
        <stp>ICE</stp>
        <stp>D[tl:Union]</stp>
        <stp>300;6/27/2017</stp>
        <stp>228</stp>
        <tr r="AV78" s="15"/>
      </tp>
      <tp>
        <v>42811.333333333336</v>
        <stp/>
        <stp>*HT</stp>
        <stp>ICE</stp>
        <stp>D[tl:Union]</stp>
        <stp>300;6/27/2017</stp>
        <stp>229</stp>
        <tr r="AV77" s="15"/>
      </tp>
      <tp>
        <v>42808.333333333336</v>
        <stp/>
        <stp>*HT</stp>
        <stp>ICE</stp>
        <stp>D[tl:Union]</stp>
        <stp>300;6/27/2017</stp>
        <stp>226</stp>
        <tr r="AV80" s="15"/>
      </tp>
      <tp>
        <v>42809.333333333336</v>
        <stp/>
        <stp>*HT</stp>
        <stp>ICE</stp>
        <stp>D[tl:Union]</stp>
        <stp>300;6/27/2017</stp>
        <stp>227</stp>
        <tr r="AV79" s="15"/>
      </tp>
      <tp>
        <v>42804.291666666664</v>
        <stp/>
        <stp>*HT</stp>
        <stp>ICE</stp>
        <stp>D[tl:Union]</stp>
        <stp>300;6/27/2017</stp>
        <stp>224</stp>
        <tr r="AV82" s="15"/>
      </tp>
      <tp>
        <v>42807.333333333336</v>
        <stp/>
        <stp>*HT</stp>
        <stp>ICE</stp>
        <stp>D[tl:Union]</stp>
        <stp>300;6/27/2017</stp>
        <stp>225</stp>
        <tr r="AV81" s="15"/>
      </tp>
      <tp>
        <v>42802.291666666664</v>
        <stp/>
        <stp>*HT</stp>
        <stp>ICE</stp>
        <stp>D[tl:Union]</stp>
        <stp>300;6/27/2017</stp>
        <stp>222</stp>
        <tr r="AV84" s="15"/>
      </tp>
      <tp>
        <v>42803.291666666664</v>
        <stp/>
        <stp>*HT</stp>
        <stp>ICE</stp>
        <stp>D[tl:Union]</stp>
        <stp>300;6/27/2017</stp>
        <stp>223</stp>
        <tr r="AV83" s="15"/>
      </tp>
      <tp>
        <v>42800.291666666664</v>
        <stp/>
        <stp>*HT</stp>
        <stp>ICE</stp>
        <stp>D[tl:Union]</stp>
        <stp>300;6/27/2017</stp>
        <stp>220</stp>
        <tr r="AV86" s="15"/>
      </tp>
      <tp>
        <v>42801.291666666664</v>
        <stp/>
        <stp>*HT</stp>
        <stp>ICE</stp>
        <stp>D[tl:Union]</stp>
        <stp>300;6/27/2017</stp>
        <stp>221</stp>
        <tr r="AV85" s="15"/>
      </tp>
      <tp>
        <v>42824.333333333336</v>
        <stp/>
        <stp>*HT</stp>
        <stp>ICE</stp>
        <stp>D[tl:Union]</stp>
        <stp>300;6/27/2017</stp>
        <stp>238</stp>
        <tr r="AV68" s="15"/>
      </tp>
      <tp>
        <v>42825.333333333336</v>
        <stp/>
        <stp>*HT</stp>
        <stp>ICE</stp>
        <stp>D[tl:Union]</stp>
        <stp>300;6/27/2017</stp>
        <stp>239</stp>
        <tr r="AV67" s="15"/>
      </tp>
      <tp>
        <v>42822.333333333336</v>
        <stp/>
        <stp>*HT</stp>
        <stp>ICE</stp>
        <stp>D[tl:Union]</stp>
        <stp>300;6/27/2017</stp>
        <stp>236</stp>
        <tr r="AV70" s="15"/>
      </tp>
      <tp>
        <v>42823.333333333336</v>
        <stp/>
        <stp>*HT</stp>
        <stp>ICE</stp>
        <stp>D[tl:Union]</stp>
        <stp>300;6/27/2017</stp>
        <stp>237</stp>
        <tr r="AV69" s="15"/>
      </tp>
      <tp>
        <v>42818.333333333336</v>
        <stp/>
        <stp>*HT</stp>
        <stp>ICE</stp>
        <stp>D[tl:Union]</stp>
        <stp>300;6/27/2017</stp>
        <stp>234</stp>
        <tr r="AV72" s="15"/>
      </tp>
      <tp>
        <v>42821.333333333336</v>
        <stp/>
        <stp>*HT</stp>
        <stp>ICE</stp>
        <stp>D[tl:Union]</stp>
        <stp>300;6/27/2017</stp>
        <stp>235</stp>
        <tr r="AV71" s="15"/>
      </tp>
      <tp>
        <v>42816.333333333336</v>
        <stp/>
        <stp>*HT</stp>
        <stp>ICE</stp>
        <stp>D[tl:Union]</stp>
        <stp>300;6/27/2017</stp>
        <stp>232</stp>
        <tr r="AV74" s="15"/>
      </tp>
      <tp>
        <v>42817.333333333336</v>
        <stp/>
        <stp>*HT</stp>
        <stp>ICE</stp>
        <stp>D[tl:Union]</stp>
        <stp>300;6/27/2017</stp>
        <stp>233</stp>
        <tr r="AV73" s="15"/>
      </tp>
      <tp>
        <v>42814.333333333336</v>
        <stp/>
        <stp>*HT</stp>
        <stp>ICE</stp>
        <stp>D[tl:Union]</stp>
        <stp>300;6/27/2017</stp>
        <stp>230</stp>
        <tr r="AV76" s="15"/>
      </tp>
      <tp>
        <v>42815.333333333336</v>
        <stp/>
        <stp>*HT</stp>
        <stp>ICE</stp>
        <stp>D[tl:Union]</stp>
        <stp>300;6/27/2017</stp>
        <stp>231</stp>
        <tr r="AV75" s="15"/>
      </tp>
      <tp>
        <v>42781.291666666664</v>
        <stp/>
        <stp>*HT</stp>
        <stp>ICE</stp>
        <stp>D[tl:Union]</stp>
        <stp>300;6/27/2017</stp>
        <stp>208</stp>
        <tr r="AV98" s="15"/>
      </tp>
      <tp>
        <v>42782.291666666664</v>
        <stp/>
        <stp>*HT</stp>
        <stp>ICE</stp>
        <stp>D[tl:Union]</stp>
        <stp>300;6/27/2017</stp>
        <stp>209</stp>
        <tr r="AV97" s="15"/>
      </tp>
      <tp>
        <v>42779.291666666664</v>
        <stp/>
        <stp>*HT</stp>
        <stp>ICE</stp>
        <stp>D[tl:Union]</stp>
        <stp>300;6/27/2017</stp>
        <stp>206</stp>
        <tr r="AV100" s="15"/>
      </tp>
      <tp>
        <v>42780.291666666664</v>
        <stp/>
        <stp>*HT</stp>
        <stp>ICE</stp>
        <stp>D[tl:Union]</stp>
        <stp>300;6/27/2017</stp>
        <stp>207</stp>
        <tr r="AV99" s="15"/>
      </tp>
      <tp>
        <v>42775.291666666664</v>
        <stp/>
        <stp>*HT</stp>
        <stp>ICE</stp>
        <stp>D[tl:Union]</stp>
        <stp>300;6/27/2017</stp>
        <stp>204</stp>
        <tr r="AV102" s="15"/>
      </tp>
      <tp>
        <v>42776.291666666664</v>
        <stp/>
        <stp>*HT</stp>
        <stp>ICE</stp>
        <stp>D[tl:Union]</stp>
        <stp>300;6/27/2017</stp>
        <stp>205</stp>
        <tr r="AV101" s="15"/>
      </tp>
      <tp>
        <v>42773.291666666664</v>
        <stp/>
        <stp>*HT</stp>
        <stp>ICE</stp>
        <stp>D[tl:Union]</stp>
        <stp>300;6/27/2017</stp>
        <stp>202</stp>
        <tr r="AV104" s="15"/>
      </tp>
      <tp>
        <v>42774.291666666664</v>
        <stp/>
        <stp>*HT</stp>
        <stp>ICE</stp>
        <stp>D[tl:Union]</stp>
        <stp>300;6/27/2017</stp>
        <stp>203</stp>
        <tr r="AV103" s="15"/>
      </tp>
      <tp>
        <v>42769.291666666664</v>
        <stp/>
        <stp>*HT</stp>
        <stp>ICE</stp>
        <stp>D[tl:Union]</stp>
        <stp>300;6/27/2017</stp>
        <stp>200</stp>
        <tr r="AV106" s="15"/>
      </tp>
      <tp>
        <v>42772.291666666664</v>
        <stp/>
        <stp>*HT</stp>
        <stp>ICE</stp>
        <stp>D[tl:Union]</stp>
        <stp>300;6/27/2017</stp>
        <stp>201</stp>
        <tr r="AV105" s="15"/>
      </tp>
      <tp>
        <v>42796.291666666664</v>
        <stp/>
        <stp>*HT</stp>
        <stp>ICE</stp>
        <stp>D[tl:Union]</stp>
        <stp>300;6/27/2017</stp>
        <stp>218</stp>
        <tr r="AV88" s="15"/>
      </tp>
      <tp>
        <v>42797.291666666664</v>
        <stp/>
        <stp>*HT</stp>
        <stp>ICE</stp>
        <stp>D[tl:Union]</stp>
        <stp>300;6/27/2017</stp>
        <stp>219</stp>
        <tr r="AV87" s="15"/>
      </tp>
      <tp>
        <v>42794.291666666664</v>
        <stp/>
        <stp>*HT</stp>
        <stp>ICE</stp>
        <stp>D[tl:Union]</stp>
        <stp>300;6/27/2017</stp>
        <stp>216</stp>
        <tr r="AV90" s="15"/>
      </tp>
      <tp>
        <v>42795.291666666664</v>
        <stp/>
        <stp>*HT</stp>
        <stp>ICE</stp>
        <stp>D[tl:Union]</stp>
        <stp>300;6/27/2017</stp>
        <stp>217</stp>
        <tr r="AV89" s="15"/>
      </tp>
      <tp>
        <v>42790.291666666664</v>
        <stp/>
        <stp>*HT</stp>
        <stp>ICE</stp>
        <stp>D[tl:Union]</stp>
        <stp>300;6/27/2017</stp>
        <stp>214</stp>
        <tr r="AV92" s="15"/>
      </tp>
      <tp>
        <v>42793.291666666664</v>
        <stp/>
        <stp>*HT</stp>
        <stp>ICE</stp>
        <stp>D[tl:Union]</stp>
        <stp>300;6/27/2017</stp>
        <stp>215</stp>
        <tr r="AV91" s="15"/>
      </tp>
      <tp>
        <v>42788.291666666664</v>
        <stp/>
        <stp>*HT</stp>
        <stp>ICE</stp>
        <stp>D[tl:Union]</stp>
        <stp>300;6/27/2017</stp>
        <stp>212</stp>
        <tr r="AV94" s="15"/>
      </tp>
      <tp>
        <v>42789.291666666664</v>
        <stp/>
        <stp>*HT</stp>
        <stp>ICE</stp>
        <stp>D[tl:Union]</stp>
        <stp>300;6/27/2017</stp>
        <stp>213</stp>
        <tr r="AV93" s="15"/>
      </tp>
      <tp>
        <v>42783.291666666664</v>
        <stp/>
        <stp>*HT</stp>
        <stp>ICE</stp>
        <stp>D[tl:Union]</stp>
        <stp>300;6/27/2017</stp>
        <stp>210</stp>
        <tr r="AV96" s="15"/>
      </tp>
      <tp>
        <v>42787.291666666664</v>
        <stp/>
        <stp>*HT</stp>
        <stp>ICE</stp>
        <stp>D[tl:Union]</stp>
        <stp>300;6/27/2017</stp>
        <stp>211</stp>
        <tr r="AV95" s="15"/>
      </tp>
      <tp>
        <v>42898.333333333336</v>
        <stp/>
        <stp>*HT</stp>
        <stp>ICE</stp>
        <stp>D[tl:Union]</stp>
        <stp>300;6/27/2017</stp>
        <stp>288</stp>
        <tr r="AV18" s="15"/>
      </tp>
      <tp>
        <v>42899.333333333336</v>
        <stp/>
        <stp>*HT</stp>
        <stp>ICE</stp>
        <stp>D[tl:Union]</stp>
        <stp>300;6/27/2017</stp>
        <stp>289</stp>
        <tr r="AV17" s="15"/>
      </tp>
      <tp>
        <v>42894.333333333336</v>
        <stp/>
        <stp>*HT</stp>
        <stp>ICE</stp>
        <stp>D[tl:Union]</stp>
        <stp>300;6/27/2017</stp>
        <stp>286</stp>
        <tr r="AV20" s="15"/>
      </tp>
      <tp>
        <v>42895.333333333336</v>
        <stp/>
        <stp>*HT</stp>
        <stp>ICE</stp>
        <stp>D[tl:Union]</stp>
        <stp>300;6/27/2017</stp>
        <stp>287</stp>
        <tr r="AV19" s="15"/>
      </tp>
      <tp>
        <v>42892.333333333336</v>
        <stp/>
        <stp>*HT</stp>
        <stp>ICE</stp>
        <stp>D[tl:Union]</stp>
        <stp>300;6/27/2017</stp>
        <stp>284</stp>
        <tr r="AV22" s="15"/>
      </tp>
      <tp>
        <v>42893.333333333336</v>
        <stp/>
        <stp>*HT</stp>
        <stp>ICE</stp>
        <stp>D[tl:Union]</stp>
        <stp>300;6/27/2017</stp>
        <stp>285</stp>
        <tr r="AV21" s="15"/>
      </tp>
      <tp>
        <v>42888.333333333336</v>
        <stp/>
        <stp>*HT</stp>
        <stp>ICE</stp>
        <stp>D[tl:Union]</stp>
        <stp>300;6/27/2017</stp>
        <stp>282</stp>
        <tr r="AV24" s="15"/>
      </tp>
      <tp>
        <v>42891.333333333336</v>
        <stp/>
        <stp>*HT</stp>
        <stp>ICE</stp>
        <stp>D[tl:Union]</stp>
        <stp>300;6/27/2017</stp>
        <stp>283</stp>
        <tr r="AV23" s="15"/>
      </tp>
      <tp>
        <v>42886.333333333336</v>
        <stp/>
        <stp>*HT</stp>
        <stp>ICE</stp>
        <stp>D[tl:Union]</stp>
        <stp>300;6/27/2017</stp>
        <stp>280</stp>
        <tr r="AV26" s="15"/>
      </tp>
      <tp>
        <v>42887.333333333336</v>
        <stp/>
        <stp>*HT</stp>
        <stp>ICE</stp>
        <stp>D[tl:Union]</stp>
        <stp>300;6/27/2017</stp>
        <stp>281</stp>
        <tr r="AV25" s="15"/>
      </tp>
      <tp>
        <v>42912.333333333336</v>
        <stp/>
        <stp>*HT</stp>
        <stp>ICE</stp>
        <stp>D[tl:Union]</stp>
        <stp>300;6/27/2017</stp>
        <stp>298</stp>
        <tr r="AV8" s="15"/>
      </tp>
      <tp>
        <v>42913.333333333336</v>
        <stp/>
        <stp>*HT</stp>
        <stp>ICE</stp>
        <stp>D[tl:Union]</stp>
        <stp>300;6/27/2017</stp>
        <stp>299</stp>
        <tr r="AV7" s="15"/>
      </tp>
      <tp>
        <v>42908.333333333336</v>
        <stp/>
        <stp>*HT</stp>
        <stp>ICE</stp>
        <stp>D[tl:Union]</stp>
        <stp>300;6/27/2017</stp>
        <stp>296</stp>
        <tr r="AV10" s="15"/>
      </tp>
      <tp>
        <v>42909.333333333336</v>
        <stp/>
        <stp>*HT</stp>
        <stp>ICE</stp>
        <stp>D[tl:Union]</stp>
        <stp>300;6/27/2017</stp>
        <stp>297</stp>
        <tr r="AV9" s="15"/>
      </tp>
      <tp>
        <v>42906.333333333336</v>
        <stp/>
        <stp>*HT</stp>
        <stp>ICE</stp>
        <stp>D[tl:Union]</stp>
        <stp>300;6/27/2017</stp>
        <stp>294</stp>
        <tr r="AV12" s="15"/>
      </tp>
      <tp>
        <v>42907.333333333336</v>
        <stp/>
        <stp>*HT</stp>
        <stp>ICE</stp>
        <stp>D[tl:Union]</stp>
        <stp>300;6/27/2017</stp>
        <stp>295</stp>
        <tr r="AV11" s="15"/>
      </tp>
      <tp>
        <v>42902.333333333336</v>
        <stp/>
        <stp>*HT</stp>
        <stp>ICE</stp>
        <stp>D[tl:Union]</stp>
        <stp>300;6/27/2017</stp>
        <stp>292</stp>
        <tr r="AV14" s="15"/>
      </tp>
      <tp>
        <v>42905.333333333336</v>
        <stp/>
        <stp>*HT</stp>
        <stp>ICE</stp>
        <stp>D[tl:Union]</stp>
        <stp>300;6/27/2017</stp>
        <stp>293</stp>
        <tr r="AV13" s="15"/>
      </tp>
      <tp>
        <v>42900.333333333336</v>
        <stp/>
        <stp>*HT</stp>
        <stp>ICE</stp>
        <stp>D[tl:Union]</stp>
        <stp>300;6/27/2017</stp>
        <stp>290</stp>
        <tr r="AV16" s="15"/>
      </tp>
      <tp>
        <v>42901.333333333336</v>
        <stp/>
        <stp>*HT</stp>
        <stp>ICE</stp>
        <stp>D[tl:Union]</stp>
        <stp>300;6/27/2017</stp>
        <stp>291</stp>
        <tr r="AV15" s="15"/>
      </tp>
      <tp>
        <v>111.67</v>
        <stp/>
        <stp>ICE</stp>
        <stp>Open</stp>
        <tr r="H12" s="15"/>
      </tp>
      <tp>
        <v>0.38</v>
        <stp/>
        <stp>ICE</stp>
        <stp>Dividend</stp>
        <tr r="H18" s="15"/>
      </tp>
      <tp t="s">
        <v/>
        <stp/>
        <stp>IBM</stp>
        <stp>ExpRatio</stp>
        <tr r="BL32" s="15"/>
      </tp>
      <tp>
        <v>23.757738</v>
        <stp/>
        <stp>ICE</stp>
        <stp>PytRatio</stp>
        <tr r="N43" s="15"/>
      </tp>
      <tp>
        <v>1.2836380000000001</v>
        <stp/>
        <stp>ICE</stp>
        <stp>EPSNextQtrExp</stp>
        <tr r="H30" s="15"/>
      </tp>
      <tp>
        <v>-3.02</v>
        <stp/>
        <stp>ICE</stp>
        <stp>Change</stp>
        <tr r="H9" s="15"/>
      </tp>
      <tp>
        <v>80.564565999999999</v>
        <stp/>
        <stp>ICE</stp>
        <stp>DebtToEq</stp>
        <tr r="N41" s="15"/>
      </tp>
      <tp>
        <v>21.021280999999998</v>
        <stp/>
        <stp>ICE</stp>
        <stp>Forward P/E Current Fiscal Year</stp>
        <tr r="H25" s="15"/>
      </tp>
      <tp>
        <v>42502.333333333336</v>
        <stp/>
        <stp>*HT</stp>
        <stp>ICE</stp>
        <stp>D[tl:Union]</stp>
        <stp>300;6/27/2017</stp>
        <stp>16</stp>
        <tr r="AV290" s="15"/>
      </tp>
      <tp>
        <v>42503.333333333336</v>
        <stp/>
        <stp>*HT</stp>
        <stp>ICE</stp>
        <stp>D[tl:Union]</stp>
        <stp>300;6/27/2017</stp>
        <stp>17</stp>
        <tr r="AV289" s="15"/>
      </tp>
      <tp>
        <v>42500.333333333336</v>
        <stp/>
        <stp>*HT</stp>
        <stp>ICE</stp>
        <stp>D[tl:Union]</stp>
        <stp>300;6/27/2017</stp>
        <stp>14</stp>
        <tr r="AV292" s="15"/>
      </tp>
      <tp>
        <v>42501.333333333336</v>
        <stp/>
        <stp>*HT</stp>
        <stp>ICE</stp>
        <stp>D[tl:Union]</stp>
        <stp>300;6/27/2017</stp>
        <stp>15</stp>
        <tr r="AV291" s="15"/>
      </tp>
      <tp>
        <v>42496.333333333336</v>
        <stp/>
        <stp>*HT</stp>
        <stp>ICE</stp>
        <stp>D[tl:Union]</stp>
        <stp>300;6/27/2017</stp>
        <stp>12</stp>
        <tr r="AV294" s="15"/>
      </tp>
      <tp>
        <v>42499.333333333336</v>
        <stp/>
        <stp>*HT</stp>
        <stp>ICE</stp>
        <stp>D[tl:Union]</stp>
        <stp>300;6/27/2017</stp>
        <stp>13</stp>
        <tr r="AV293" s="15"/>
      </tp>
      <tp>
        <v>42494.333333333336</v>
        <stp/>
        <stp>*HT</stp>
        <stp>ICE</stp>
        <stp>D[tl:Union]</stp>
        <stp>300;6/27/2017</stp>
        <stp>10</stp>
        <tr r="AV296" s="15"/>
      </tp>
      <tp>
        <v>42495.333333333336</v>
        <stp/>
        <stp>*HT</stp>
        <stp>ICE</stp>
        <stp>D[tl:Union]</stp>
        <stp>300;6/27/2017</stp>
        <stp>11</stp>
        <tr r="AV295" s="15"/>
      </tp>
      <tp>
        <v>42506.333333333336</v>
        <stp/>
        <stp>*HT</stp>
        <stp>ICE</stp>
        <stp>D[tl:Union]</stp>
        <stp>300;6/27/2017</stp>
        <stp>18</stp>
        <tr r="AV288" s="15"/>
      </tp>
      <tp>
        <v>42507.333333333336</v>
        <stp/>
        <stp>*HT</stp>
        <stp>ICE</stp>
        <stp>D[tl:Union]</stp>
        <stp>300;6/27/2017</stp>
        <stp>19</stp>
        <tr r="AV287" s="15"/>
      </tp>
      <tp>
        <v>42531.333333333336</v>
        <stp/>
        <stp>*HT</stp>
        <stp>ICE</stp>
        <stp>D[tl:Union]</stp>
        <stp>300;6/27/2017</stp>
        <stp>36</stp>
        <tr r="AV270" s="15"/>
      </tp>
      <tp>
        <v>42534.333333333336</v>
        <stp/>
        <stp>*HT</stp>
        <stp>ICE</stp>
        <stp>D[tl:Union]</stp>
        <stp>300;6/27/2017</stp>
        <stp>37</stp>
        <tr r="AV269" s="15"/>
      </tp>
      <tp>
        <v>42529.333333333336</v>
        <stp/>
        <stp>*HT</stp>
        <stp>ICE</stp>
        <stp>D[tl:Union]</stp>
        <stp>300;6/27/2017</stp>
        <stp>34</stp>
        <tr r="AV272" s="15"/>
      </tp>
      <tp>
        <v>42530.333333333336</v>
        <stp/>
        <stp>*HT</stp>
        <stp>ICE</stp>
        <stp>D[tl:Union]</stp>
        <stp>300;6/27/2017</stp>
        <stp>35</stp>
        <tr r="AV271" s="15"/>
      </tp>
      <tp>
        <v>42527.333333333336</v>
        <stp/>
        <stp>*HT</stp>
        <stp>ICE</stp>
        <stp>D[tl:Union]</stp>
        <stp>300;6/27/2017</stp>
        <stp>32</stp>
        <tr r="AV274" s="15"/>
      </tp>
      <tp>
        <v>42528.333333333336</v>
        <stp/>
        <stp>*HT</stp>
        <stp>ICE</stp>
        <stp>D[tl:Union]</stp>
        <stp>300;6/27/2017</stp>
        <stp>33</stp>
        <tr r="AV273" s="15"/>
      </tp>
      <tp>
        <v>42523.333333333336</v>
        <stp/>
        <stp>*HT</stp>
        <stp>ICE</stp>
        <stp>D[tl:Union]</stp>
        <stp>300;6/27/2017</stp>
        <stp>30</stp>
        <tr r="AV276" s="15"/>
      </tp>
      <tp>
        <v>42524.333333333336</v>
        <stp/>
        <stp>*HT</stp>
        <stp>ICE</stp>
        <stp>D[tl:Union]</stp>
        <stp>300;6/27/2017</stp>
        <stp>31</stp>
        <tr r="AV275" s="15"/>
      </tp>
      <tp>
        <v>42535.333333333336</v>
        <stp/>
        <stp>*HT</stp>
        <stp>ICE</stp>
        <stp>D[tl:Union]</stp>
        <stp>300;6/27/2017</stp>
        <stp>38</stp>
        <tr r="AV268" s="15"/>
      </tp>
      <tp>
        <v>42536.333333333336</v>
        <stp/>
        <stp>*HT</stp>
        <stp>ICE</stp>
        <stp>D[tl:Union]</stp>
        <stp>300;6/27/2017</stp>
        <stp>39</stp>
        <tr r="AV267" s="15"/>
      </tp>
      <tp>
        <v>42516.333333333336</v>
        <stp/>
        <stp>*HT</stp>
        <stp>ICE</stp>
        <stp>D[tl:Union]</stp>
        <stp>300;6/27/2017</stp>
        <stp>26</stp>
        <tr r="AV280" s="15"/>
      </tp>
      <tp>
        <v>42517.333333333336</v>
        <stp/>
        <stp>*HT</stp>
        <stp>ICE</stp>
        <stp>D[tl:Union]</stp>
        <stp>300;6/27/2017</stp>
        <stp>27</stp>
        <tr r="AV279" s="15"/>
      </tp>
      <tp>
        <v>42514.333333333336</v>
        <stp/>
        <stp>*HT</stp>
        <stp>ICE</stp>
        <stp>D[tl:Union]</stp>
        <stp>300;6/27/2017</stp>
        <stp>24</stp>
        <tr r="AV282" s="15"/>
      </tp>
      <tp>
        <v>42515.333333333336</v>
        <stp/>
        <stp>*HT</stp>
        <stp>ICE</stp>
        <stp>D[tl:Union]</stp>
        <stp>300;6/27/2017</stp>
        <stp>25</stp>
        <tr r="AV281" s="15"/>
      </tp>
      <tp>
        <v>42510.333333333336</v>
        <stp/>
        <stp>*HT</stp>
        <stp>ICE</stp>
        <stp>D[tl:Union]</stp>
        <stp>300;6/27/2017</stp>
        <stp>22</stp>
        <tr r="AV284" s="15"/>
      </tp>
      <tp>
        <v>42513.333333333336</v>
        <stp/>
        <stp>*HT</stp>
        <stp>ICE</stp>
        <stp>D[tl:Union]</stp>
        <stp>300;6/27/2017</stp>
        <stp>23</stp>
        <tr r="AV283" s="15"/>
      </tp>
      <tp>
        <v>42508.333333333336</v>
        <stp/>
        <stp>*HT</stp>
        <stp>ICE</stp>
        <stp>D[tl:Union]</stp>
        <stp>300;6/27/2017</stp>
        <stp>20</stp>
        <tr r="AV286" s="15"/>
      </tp>
      <tp>
        <v>42509.333333333336</v>
        <stp/>
        <stp>*HT</stp>
        <stp>ICE</stp>
        <stp>D[tl:Union]</stp>
        <stp>300;6/27/2017</stp>
        <stp>21</stp>
        <tr r="AV285" s="15"/>
      </tp>
      <tp>
        <v>42521.333333333336</v>
        <stp/>
        <stp>*HT</stp>
        <stp>ICE</stp>
        <stp>D[tl:Union]</stp>
        <stp>300;6/27/2017</stp>
        <stp>28</stp>
        <tr r="AV278" s="15"/>
      </tp>
      <tp>
        <v>42522.333333333336</v>
        <stp/>
        <stp>*HT</stp>
        <stp>ICE</stp>
        <stp>D[tl:Union]</stp>
        <stp>300;6/27/2017</stp>
        <stp>29</stp>
        <tr r="AV277" s="15"/>
      </tp>
      <tp>
        <v>42562.333333333336</v>
        <stp/>
        <stp>*HT</stp>
        <stp>ICE</stp>
        <stp>D[tl:Union]</stp>
        <stp>300;6/27/2017</stp>
        <stp>56</stp>
        <tr r="AV250" s="15"/>
      </tp>
      <tp>
        <v>42563.333333333336</v>
        <stp/>
        <stp>*HT</stp>
        <stp>ICE</stp>
        <stp>D[tl:Union]</stp>
        <stp>300;6/27/2017</stp>
        <stp>57</stp>
        <tr r="AV249" s="15"/>
      </tp>
      <tp>
        <v>42558.333333333336</v>
        <stp/>
        <stp>*HT</stp>
        <stp>ICE</stp>
        <stp>D[tl:Union]</stp>
        <stp>300;6/27/2017</stp>
        <stp>54</stp>
        <tr r="AV252" s="15"/>
      </tp>
      <tp>
        <v>42559.333333333336</v>
        <stp/>
        <stp>*HT</stp>
        <stp>ICE</stp>
        <stp>D[tl:Union]</stp>
        <stp>300;6/27/2017</stp>
        <stp>55</stp>
        <tr r="AV251" s="15"/>
      </tp>
      <tp>
        <v>42556.333333333336</v>
        <stp/>
        <stp>*HT</stp>
        <stp>ICE</stp>
        <stp>D[tl:Union]</stp>
        <stp>300;6/27/2017</stp>
        <stp>52</stp>
        <tr r="AV254" s="15"/>
      </tp>
      <tp>
        <v>42557.333333333336</v>
        <stp/>
        <stp>*HT</stp>
        <stp>ICE</stp>
        <stp>D[tl:Union]</stp>
        <stp>300;6/27/2017</stp>
        <stp>53</stp>
        <tr r="AV253" s="15"/>
      </tp>
      <tp>
        <v>42551.333333333336</v>
        <stp/>
        <stp>*HT</stp>
        <stp>ICE</stp>
        <stp>D[tl:Union]</stp>
        <stp>300;6/27/2017</stp>
        <stp>50</stp>
        <tr r="AV256" s="15"/>
      </tp>
      <tp>
        <v>42552.333333333336</v>
        <stp/>
        <stp>*HT</stp>
        <stp>ICE</stp>
        <stp>D[tl:Union]</stp>
        <stp>300;6/27/2017</stp>
        <stp>51</stp>
        <tr r="AV255" s="15"/>
      </tp>
      <tp>
        <v>42564.333333333336</v>
        <stp/>
        <stp>*HT</stp>
        <stp>ICE</stp>
        <stp>D[tl:Union]</stp>
        <stp>300;6/27/2017</stp>
        <stp>58</stp>
        <tr r="AV248" s="15"/>
      </tp>
      <tp>
        <v>42565.333333333336</v>
        <stp/>
        <stp>*HT</stp>
        <stp>ICE</stp>
        <stp>D[tl:Union]</stp>
        <stp>300;6/27/2017</stp>
        <stp>59</stp>
        <tr r="AV247" s="15"/>
      </tp>
      <tp>
        <v>42545.333333333336</v>
        <stp/>
        <stp>*HT</stp>
        <stp>ICE</stp>
        <stp>D[tl:Union]</stp>
        <stp>300;6/27/2017</stp>
        <stp>46</stp>
        <tr r="AV260" s="15"/>
      </tp>
      <tp>
        <v>42548.333333333336</v>
        <stp/>
        <stp>*HT</stp>
        <stp>ICE</stp>
        <stp>D[tl:Union]</stp>
        <stp>300;6/27/2017</stp>
        <stp>47</stp>
        <tr r="AV259" s="15"/>
      </tp>
      <tp>
        <v>42543.333333333336</v>
        <stp/>
        <stp>*HT</stp>
        <stp>ICE</stp>
        <stp>D[tl:Union]</stp>
        <stp>300;6/27/2017</stp>
        <stp>44</stp>
        <tr r="AV262" s="15"/>
      </tp>
      <tp>
        <v>42544.333333333336</v>
        <stp/>
        <stp>*HT</stp>
        <stp>ICE</stp>
        <stp>D[tl:Union]</stp>
        <stp>300;6/27/2017</stp>
        <stp>45</stp>
        <tr r="AV261" s="15"/>
      </tp>
      <tp>
        <v>42541.333333333336</v>
        <stp/>
        <stp>*HT</stp>
        <stp>ICE</stp>
        <stp>D[tl:Union]</stp>
        <stp>300;6/27/2017</stp>
        <stp>42</stp>
        <tr r="AV264" s="15"/>
      </tp>
      <tp>
        <v>42542.333333333336</v>
        <stp/>
        <stp>*HT</stp>
        <stp>ICE</stp>
        <stp>D[tl:Union]</stp>
        <stp>300;6/27/2017</stp>
        <stp>43</stp>
        <tr r="AV263" s="15"/>
      </tp>
      <tp>
        <v>42537.333333333336</v>
        <stp/>
        <stp>*HT</stp>
        <stp>ICE</stp>
        <stp>D[tl:Union]</stp>
        <stp>300;6/27/2017</stp>
        <stp>40</stp>
        <tr r="AV266" s="15"/>
      </tp>
      <tp>
        <v>42538.333333333336</v>
        <stp/>
        <stp>*HT</stp>
        <stp>ICE</stp>
        <stp>D[tl:Union]</stp>
        <stp>300;6/27/2017</stp>
        <stp>41</stp>
        <tr r="AV265" s="15"/>
      </tp>
      <tp>
        <v>42549.333333333336</v>
        <stp/>
        <stp>*HT</stp>
        <stp>ICE</stp>
        <stp>D[tl:Union]</stp>
        <stp>300;6/27/2017</stp>
        <stp>48</stp>
        <tr r="AV258" s="15"/>
      </tp>
      <tp>
        <v>42550.333333333336</v>
        <stp/>
        <stp>*HT</stp>
        <stp>ICE</stp>
        <stp>D[tl:Union]</stp>
        <stp>300;6/27/2017</stp>
        <stp>49</stp>
        <tr r="AV257" s="15"/>
      </tp>
      <tp>
        <v>42590.333333333336</v>
        <stp/>
        <stp>*HT</stp>
        <stp>ICE</stp>
        <stp>D[tl:Union]</stp>
        <stp>300;6/27/2017</stp>
        <stp>76</stp>
        <tr r="AV230" s="15"/>
      </tp>
      <tp>
        <v>42591.333333333336</v>
        <stp/>
        <stp>*HT</stp>
        <stp>ICE</stp>
        <stp>D[tl:Union]</stp>
        <stp>300;6/27/2017</stp>
        <stp>77</stp>
        <tr r="AV229" s="15"/>
      </tp>
      <tp>
        <v>42586.333333333336</v>
        <stp/>
        <stp>*HT</stp>
        <stp>ICE</stp>
        <stp>D[tl:Union]</stp>
        <stp>300;6/27/2017</stp>
        <stp>74</stp>
        <tr r="AV232" s="15"/>
      </tp>
      <tp>
        <v>42587.333333333336</v>
        <stp/>
        <stp>*HT</stp>
        <stp>ICE</stp>
        <stp>D[tl:Union]</stp>
        <stp>300;6/27/2017</stp>
        <stp>75</stp>
        <tr r="AV231" s="15"/>
      </tp>
      <tp>
        <v>42584.333333333336</v>
        <stp/>
        <stp>*HT</stp>
        <stp>ICE</stp>
        <stp>D[tl:Union]</stp>
        <stp>300;6/27/2017</stp>
        <stp>72</stp>
        <tr r="AV234" s="15"/>
      </tp>
      <tp>
        <v>42585.333333333336</v>
        <stp/>
        <stp>*HT</stp>
        <stp>ICE</stp>
        <stp>D[tl:Union]</stp>
        <stp>300;6/27/2017</stp>
        <stp>73</stp>
        <tr r="AV233" s="15"/>
      </tp>
      <tp>
        <v>42580.333333333336</v>
        <stp/>
        <stp>*HT</stp>
        <stp>ICE</stp>
        <stp>D[tl:Union]</stp>
        <stp>300;6/27/2017</stp>
        <stp>70</stp>
        <tr r="AV236" s="15"/>
      </tp>
      <tp>
        <v>42583.333333333336</v>
        <stp/>
        <stp>*HT</stp>
        <stp>ICE</stp>
        <stp>D[tl:Union]</stp>
        <stp>300;6/27/2017</stp>
        <stp>71</stp>
        <tr r="AV235" s="15"/>
      </tp>
      <tp>
        <v>42592.333333333336</v>
        <stp/>
        <stp>*HT</stp>
        <stp>ICE</stp>
        <stp>D[tl:Union]</stp>
        <stp>300;6/27/2017</stp>
        <stp>78</stp>
        <tr r="AV228" s="15"/>
      </tp>
      <tp>
        <v>42593.333333333336</v>
        <stp/>
        <stp>*HT</stp>
        <stp>ICE</stp>
        <stp>D[tl:Union]</stp>
        <stp>300;6/27/2017</stp>
        <stp>79</stp>
        <tr r="AV227" s="15"/>
      </tp>
      <tp>
        <v>42576.333333333336</v>
        <stp/>
        <stp>*HT</stp>
        <stp>ICE</stp>
        <stp>D[tl:Union]</stp>
        <stp>300;6/27/2017</stp>
        <stp>66</stp>
        <tr r="AV240" s="15"/>
      </tp>
      <tp>
        <v>42577.333333333336</v>
        <stp/>
        <stp>*HT</stp>
        <stp>ICE</stp>
        <stp>D[tl:Union]</stp>
        <stp>300;6/27/2017</stp>
        <stp>67</stp>
        <tr r="AV239" s="15"/>
      </tp>
      <tp>
        <v>42572.333333333336</v>
        <stp/>
        <stp>*HT</stp>
        <stp>ICE</stp>
        <stp>D[tl:Union]</stp>
        <stp>300;6/27/2017</stp>
        <stp>64</stp>
        <tr r="AV242" s="15"/>
      </tp>
      <tp>
        <v>42573.333333333336</v>
        <stp/>
        <stp>*HT</stp>
        <stp>ICE</stp>
        <stp>D[tl:Union]</stp>
        <stp>300;6/27/2017</stp>
        <stp>65</stp>
        <tr r="AV241" s="15"/>
      </tp>
      <tp>
        <v>42570.333333333336</v>
        <stp/>
        <stp>*HT</stp>
        <stp>ICE</stp>
        <stp>D[tl:Union]</stp>
        <stp>300;6/27/2017</stp>
        <stp>62</stp>
        <tr r="AV244" s="15"/>
      </tp>
      <tp>
        <v>42571.333333333336</v>
        <stp/>
        <stp>*HT</stp>
        <stp>ICE</stp>
        <stp>D[tl:Union]</stp>
        <stp>300;6/27/2017</stp>
        <stp>63</stp>
        <tr r="AV243" s="15"/>
      </tp>
      <tp>
        <v>42566.333333333336</v>
        <stp/>
        <stp>*HT</stp>
        <stp>ICE</stp>
        <stp>D[tl:Union]</stp>
        <stp>300;6/27/2017</stp>
        <stp>60</stp>
        <tr r="AV246" s="15"/>
      </tp>
      <tp>
        <v>42569.333333333336</v>
        <stp/>
        <stp>*HT</stp>
        <stp>ICE</stp>
        <stp>D[tl:Union]</stp>
        <stp>300;6/27/2017</stp>
        <stp>61</stp>
        <tr r="AV245" s="15"/>
      </tp>
      <tp>
        <v>42578.333333333336</v>
        <stp/>
        <stp>*HT</stp>
        <stp>ICE</stp>
        <stp>D[tl:Union]</stp>
        <stp>300;6/27/2017</stp>
        <stp>68</stp>
        <tr r="AV238" s="15"/>
      </tp>
      <tp>
        <v>42579.333333333336</v>
        <stp/>
        <stp>*HT</stp>
        <stp>ICE</stp>
        <stp>D[tl:Union]</stp>
        <stp>300;6/27/2017</stp>
        <stp>69</stp>
        <tr r="AV237" s="15"/>
      </tp>
      <tp>
        <v>42619.333333333336</v>
        <stp/>
        <stp>*HT</stp>
        <stp>ICE</stp>
        <stp>D[tl:Union]</stp>
        <stp>300;6/27/2017</stp>
        <stp>96</stp>
        <tr r="AV210" s="15"/>
      </tp>
      <tp>
        <v>42620.333333333336</v>
        <stp/>
        <stp>*HT</stp>
        <stp>ICE</stp>
        <stp>D[tl:Union]</stp>
        <stp>300;6/27/2017</stp>
        <stp>97</stp>
        <tr r="AV209" s="15"/>
      </tp>
      <tp>
        <v>42614.333333333336</v>
        <stp/>
        <stp>*HT</stp>
        <stp>ICE</stp>
        <stp>D[tl:Union]</stp>
        <stp>300;6/27/2017</stp>
        <stp>94</stp>
        <tr r="AV212" s="15"/>
      </tp>
      <tp>
        <v>42615.333333333336</v>
        <stp/>
        <stp>*HT</stp>
        <stp>ICE</stp>
        <stp>D[tl:Union]</stp>
        <stp>300;6/27/2017</stp>
        <stp>95</stp>
        <tr r="AV211" s="15"/>
      </tp>
      <tp>
        <v>42612.333333333336</v>
        <stp/>
        <stp>*HT</stp>
        <stp>ICE</stp>
        <stp>D[tl:Union]</stp>
        <stp>300;6/27/2017</stp>
        <stp>92</stp>
        <tr r="AV214" s="15"/>
      </tp>
      <tp>
        <v>42613.333333333336</v>
        <stp/>
        <stp>*HT</stp>
        <stp>ICE</stp>
        <stp>D[tl:Union]</stp>
        <stp>300;6/27/2017</stp>
        <stp>93</stp>
        <tr r="AV213" s="15"/>
      </tp>
      <tp>
        <v>42608.333333333336</v>
        <stp/>
        <stp>*HT</stp>
        <stp>ICE</stp>
        <stp>D[tl:Union]</stp>
        <stp>300;6/27/2017</stp>
        <stp>90</stp>
        <tr r="AV216" s="15"/>
      </tp>
      <tp>
        <v>42611.333333333336</v>
        <stp/>
        <stp>*HT</stp>
        <stp>ICE</stp>
        <stp>D[tl:Union]</stp>
        <stp>300;6/27/2017</stp>
        <stp>91</stp>
        <tr r="AV215" s="15"/>
      </tp>
      <tp>
        <v>42621.333333333336</v>
        <stp/>
        <stp>*HT</stp>
        <stp>ICE</stp>
        <stp>D[tl:Union]</stp>
        <stp>300;6/27/2017</stp>
        <stp>98</stp>
        <tr r="AV208" s="15"/>
      </tp>
      <tp>
        <v>42622.333333333336</v>
        <stp/>
        <stp>*HT</stp>
        <stp>ICE</stp>
        <stp>D[tl:Union]</stp>
        <stp>300;6/27/2017</stp>
        <stp>99</stp>
        <tr r="AV207" s="15"/>
      </tp>
      <tp>
        <v>42604.333333333336</v>
        <stp/>
        <stp>*HT</stp>
        <stp>ICE</stp>
        <stp>D[tl:Union]</stp>
        <stp>300;6/27/2017</stp>
        <stp>86</stp>
        <tr r="AV220" s="15"/>
      </tp>
      <tp>
        <v>42605.333333333336</v>
        <stp/>
        <stp>*HT</stp>
        <stp>ICE</stp>
        <stp>D[tl:Union]</stp>
        <stp>300;6/27/2017</stp>
        <stp>87</stp>
        <tr r="AV219" s="15"/>
      </tp>
      <tp>
        <v>42600.333333333336</v>
        <stp/>
        <stp>*HT</stp>
        <stp>ICE</stp>
        <stp>D[tl:Union]</stp>
        <stp>300;6/27/2017</stp>
        <stp>84</stp>
        <tr r="AV222" s="15"/>
      </tp>
      <tp>
        <v>42601.333333333336</v>
        <stp/>
        <stp>*HT</stp>
        <stp>ICE</stp>
        <stp>D[tl:Union]</stp>
        <stp>300;6/27/2017</stp>
        <stp>85</stp>
        <tr r="AV221" s="15"/>
      </tp>
      <tp>
        <v>42598.333333333336</v>
        <stp/>
        <stp>*HT</stp>
        <stp>ICE</stp>
        <stp>D[tl:Union]</stp>
        <stp>300;6/27/2017</stp>
        <stp>82</stp>
        <tr r="AV224" s="15"/>
      </tp>
      <tp>
        <v>42599.333333333336</v>
        <stp/>
        <stp>*HT</stp>
        <stp>ICE</stp>
        <stp>D[tl:Union]</stp>
        <stp>300;6/27/2017</stp>
        <stp>83</stp>
        <tr r="AV223" s="15"/>
      </tp>
      <tp>
        <v>42594.333333333336</v>
        <stp/>
        <stp>*HT</stp>
        <stp>ICE</stp>
        <stp>D[tl:Union]</stp>
        <stp>300;6/27/2017</stp>
        <stp>80</stp>
        <tr r="AV226" s="15"/>
      </tp>
      <tp>
        <v>42597.333333333336</v>
        <stp/>
        <stp>*HT</stp>
        <stp>ICE</stp>
        <stp>D[tl:Union]</stp>
        <stp>300;6/27/2017</stp>
        <stp>81</stp>
        <tr r="AV225" s="15"/>
      </tp>
      <tp>
        <v>42606.333333333336</v>
        <stp/>
        <stp>*HT</stp>
        <stp>ICE</stp>
        <stp>D[tl:Union]</stp>
        <stp>300;6/27/2017</stp>
        <stp>88</stp>
        <tr r="AV218" s="15"/>
      </tp>
      <tp>
        <v>42607.333333333336</v>
        <stp/>
        <stp>*HT</stp>
        <stp>ICE</stp>
        <stp>D[tl:Union]</stp>
        <stp>300;6/27/2017</stp>
        <stp>89</stp>
        <tr r="AV217" s="15"/>
      </tp>
      <tp>
        <v>1.3868609999999999</v>
        <stp/>
        <stp>ICE</stp>
        <stp>Dividend Yield</stp>
        <tr r="H21" s="15"/>
      </tp>
      <tp t="s">
        <v/>
        <stp/>
        <stp>ICE</stp>
        <stp>CurRatio</stp>
        <tr r="N37" s="15"/>
      </tp>
      <tp>
        <v>550.72289000000001</v>
        <stp/>
        <stp>ICE</stp>
        <stp>Float</stp>
        <tr r="H41" s="15"/>
      </tp>
      <tp>
        <v>1329540</v>
        <stp/>
        <stp>ICE</stp>
        <stp>Volume</stp>
        <tr r="H16" s="15"/>
      </tp>
      <tp>
        <v>19.699808000000001</v>
        <stp/>
        <stp>ICE</stp>
        <stp>Forward P/E Next Fiscal Year</stp>
        <tr r="H26" s="15"/>
      </tp>
      <tp>
        <v>1.42</v>
        <stp/>
        <stp>ICE</stp>
        <stp>PRD__52WkDividend</stp>
        <tr r="K33" s="15"/>
      </tp>
      <tp>
        <v>558458000</v>
        <stp/>
        <stp>ICE</stp>
        <stp>Shares</stp>
        <tr r="H39" s="15"/>
      </tp>
      <tp t="s">
        <v>Field REVENUE not found</v>
        <stp/>
        <stp>ICE</stp>
        <stp>Revenue</stp>
        <tr r="N32" s="15"/>
      </tp>
      <tp>
        <v>22832.722867</v>
        <stp/>
        <stp>ICE</stp>
        <stp>CMPST_BOOKVAL</stp>
        <tr r="N35" s="15"/>
      </tp>
      <tp>
        <v>5.7168070000000002</v>
        <stp/>
        <stp>ICE</stp>
        <stp>EPSNxFy</stp>
        <tr r="H32" s="15"/>
      </tp>
      <tp>
        <v>3.3787470000000002</v>
        <stp/>
        <stp>ICE</stp>
        <stp>PtoBook</stp>
        <tr r="N42" s="15"/>
      </tp>
      <tp>
        <v>44819</v>
        <stp/>
        <stp>ICE</stp>
        <stp>XDivDate</stp>
        <tr r="H22" s="15"/>
      </tp>
      <tp t="s">
        <v>Financial Exchanges &amp; Data</v>
        <stp/>
        <stp>ICE</stp>
        <stp>CMPST_Industry</stp>
        <tr r="H7" s="15"/>
      </tp>
      <tp>
        <v>5.3574279999999996</v>
        <stp/>
        <stp>ICE</stp>
        <stp>EPSCFy</stp>
        <tr r="H29" s="15"/>
      </tp>
      <tp>
        <v>2360665</v>
        <stp/>
        <stp>*H</stp>
        <stp>ICE</stp>
        <stp>Volume</stp>
        <stp/>
        <stp>42908.3333333333</stp>
        <tr r="AX10" s="15"/>
      </tp>
      <tp>
        <v>2372721</v>
        <stp/>
        <stp>*H</stp>
        <stp>ICE</stp>
        <stp>Volume</stp>
        <stp/>
        <stp>42909.3333333333</stp>
        <tr r="AX9" s="15"/>
      </tp>
      <tp>
        <v>2575121</v>
        <stp/>
        <stp>*H</stp>
        <stp>ICE</stp>
        <stp>Volume</stp>
        <stp/>
        <stp>42905.3333333333</stp>
        <tr r="AX13" s="15"/>
      </tp>
      <tp>
        <v>1751130</v>
        <stp/>
        <stp>*H</stp>
        <stp>ICE</stp>
        <stp>Volume</stp>
        <stp/>
        <stp>42906.3333333333</stp>
        <tr r="AX12" s="15"/>
      </tp>
      <tp>
        <v>2323856</v>
        <stp/>
        <stp>*H</stp>
        <stp>ICE</stp>
        <stp>Volume</stp>
        <stp/>
        <stp>42907.3333333333</stp>
        <tr r="AX11" s="15"/>
      </tp>
      <tp>
        <v>2054930</v>
        <stp/>
        <stp>*H</stp>
        <stp>ICE</stp>
        <stp>Volume</stp>
        <stp/>
        <stp>42900.3333333333</stp>
        <tr r="AX16" s="15"/>
      </tp>
      <tp>
        <v>1680497</v>
        <stp/>
        <stp>*H</stp>
        <stp>ICE</stp>
        <stp>Volume</stp>
        <stp/>
        <stp>42901.3333333333</stp>
        <tr r="AX15" s="15"/>
      </tp>
      <tp>
        <v>2301383</v>
        <stp/>
        <stp>*H</stp>
        <stp>ICE</stp>
        <stp>Volume</stp>
        <stp/>
        <stp>42902.3333333333</stp>
        <tr r="AX14" s="15"/>
      </tp>
      <tp>
        <v>1602753</v>
        <stp/>
        <stp>*H</stp>
        <stp>ICE</stp>
        <stp>Volume</stp>
        <stp/>
        <stp>42912.3333333333</stp>
        <tr r="AX8" s="15"/>
      </tp>
      <tp>
        <v>3946390</v>
        <stp/>
        <stp>*H</stp>
        <stp>ICE</stp>
        <stp>Volume</stp>
        <stp/>
        <stp>42913.3333333333</stp>
        <tr r="AX7" s="15"/>
      </tp>
      <tp>
        <v>5102383</v>
        <stp/>
        <stp>*H</stp>
        <stp>ICE</stp>
        <stp>Volume</stp>
        <stp/>
        <stp>42803.2916666667</stp>
        <tr r="AX83" s="15"/>
      </tp>
      <tp>
        <v>3465894</v>
        <stp/>
        <stp>*H</stp>
        <stp>ICE</stp>
        <stp>Volume</stp>
        <stp/>
        <stp>42802.2916666667</stp>
        <tr r="AX84" s="15"/>
      </tp>
      <tp>
        <v>2656096</v>
        <stp/>
        <stp>*H</stp>
        <stp>ICE</stp>
        <stp>Volume</stp>
        <stp/>
        <stp>42801.2916666667</stp>
        <tr r="AX85" s="15"/>
      </tp>
      <tp>
        <v>3646305</v>
        <stp/>
        <stp>*H</stp>
        <stp>ICE</stp>
        <stp>Volume</stp>
        <stp/>
        <stp>42800.2916666667</stp>
        <tr r="AX86" s="15"/>
      </tp>
      <tp>
        <v>3584536</v>
        <stp/>
        <stp>*H</stp>
        <stp>ICE</stp>
        <stp>Volume</stp>
        <stp/>
        <stp>42804.2916666667</stp>
        <tr r="AX82" s="15"/>
      </tp>
      <tp>
        <v>3735485</v>
        <stp/>
        <stp>*H</stp>
        <stp>ICE</stp>
        <stp>Volume</stp>
        <stp/>
        <stp>42864.3333333333</stp>
        <tr r="AX41" s="15"/>
      </tp>
      <tp>
        <v>2443271</v>
        <stp/>
        <stp>*H</stp>
        <stp>ICE</stp>
        <stp>Volume</stp>
        <stp/>
        <stp>42865.3333333333</stp>
        <tr r="AX40" s="15"/>
      </tp>
      <tp>
        <v>2929063</v>
        <stp/>
        <stp>*H</stp>
        <stp>ICE</stp>
        <stp>Volume</stp>
        <stp/>
        <stp>42866.3333333333</stp>
        <tr r="AX39" s="15"/>
      </tp>
      <tp>
        <v>1665541</v>
        <stp/>
        <stp>*H</stp>
        <stp>ICE</stp>
        <stp>Volume</stp>
        <stp/>
        <stp>42867.3333333333</stp>
        <tr r="AX38" s="15"/>
      </tp>
      <tp>
        <v>2152778</v>
        <stp/>
        <stp>*H</stp>
        <stp>ICE</stp>
        <stp>Volume</stp>
        <stp/>
        <stp>42860.3333333333</stp>
        <tr r="AX43" s="15"/>
      </tp>
      <tp>
        <v>2502356</v>
        <stp/>
        <stp>*H</stp>
        <stp>ICE</stp>
        <stp>Volume</stp>
        <stp/>
        <stp>42863.3333333333</stp>
        <tr r="AX42" s="15"/>
      </tp>
      <tp>
        <v>1635826</v>
        <stp/>
        <stp>*H</stp>
        <stp>ICE</stp>
        <stp>Volume</stp>
        <stp/>
        <stp>42878.3333333333</stp>
        <tr r="AX31" s="15"/>
      </tp>
      <tp>
        <v>1452392</v>
        <stp/>
        <stp>*H</stp>
        <stp>ICE</stp>
        <stp>Volume</stp>
        <stp/>
        <stp>42879.3333333333</stp>
        <tr r="AX30" s="15"/>
      </tp>
      <tp>
        <v>3018823</v>
        <stp/>
        <stp>*H</stp>
        <stp>ICE</stp>
        <stp>Volume</stp>
        <stp/>
        <stp>42874.3333333333</stp>
        <tr r="AX33" s="15"/>
      </tp>
      <tp>
        <v>1880829</v>
        <stp/>
        <stp>*H</stp>
        <stp>ICE</stp>
        <stp>Volume</stp>
        <stp/>
        <stp>42877.3333333333</stp>
        <tr r="AX32" s="15"/>
      </tp>
      <tp>
        <v>2145251</v>
        <stp/>
        <stp>*H</stp>
        <stp>ICE</stp>
        <stp>Volume</stp>
        <stp/>
        <stp>42870.3333333333</stp>
        <tr r="AX37" s="15"/>
      </tp>
      <tp>
        <v>1875049</v>
        <stp/>
        <stp>*H</stp>
        <stp>ICE</stp>
        <stp>Volume</stp>
        <stp/>
        <stp>42871.3333333333</stp>
        <tr r="AX36" s="15"/>
      </tp>
      <tp>
        <v>2593445</v>
        <stp/>
        <stp>*H</stp>
        <stp>ICE</stp>
        <stp>Volume</stp>
        <stp/>
        <stp>42872.3333333333</stp>
        <tr r="AX35" s="15"/>
      </tp>
      <tp>
        <v>2259015</v>
        <stp/>
        <stp>*H</stp>
        <stp>ICE</stp>
        <stp>Volume</stp>
        <stp/>
        <stp>42873.3333333333</stp>
        <tr r="AX34" s="15"/>
      </tp>
      <tp>
        <v>2996070</v>
        <stp/>
        <stp>*H</stp>
        <stp>ICE</stp>
        <stp>Volume</stp>
        <stp/>
        <stp>42849.3333333333</stp>
        <tr r="AX52" s="15"/>
      </tp>
      <tp>
        <v>1993288</v>
        <stp/>
        <stp>*H</stp>
        <stp>ICE</stp>
        <stp>Volume</stp>
        <stp/>
        <stp>42844.3333333333</stp>
        <tr r="AX55" s="15"/>
      </tp>
      <tp>
        <v>3083887</v>
        <stp/>
        <stp>*H</stp>
        <stp>ICE</stp>
        <stp>Volume</stp>
        <stp/>
        <stp>42845.3333333333</stp>
        <tr r="AX54" s="15"/>
      </tp>
      <tp>
        <v>1856852</v>
        <stp/>
        <stp>*H</stp>
        <stp>ICE</stp>
        <stp>Volume</stp>
        <stp/>
        <stp>42846.3333333333</stp>
        <tr r="AX53" s="15"/>
      </tp>
      <tp>
        <v>1217043</v>
        <stp/>
        <stp>*H</stp>
        <stp>ICE</stp>
        <stp>Volume</stp>
        <stp/>
        <stp>42842.3333333333</stp>
        <tr r="AX57" s="15"/>
      </tp>
      <tp>
        <v>1673530</v>
        <stp/>
        <stp>*H</stp>
        <stp>ICE</stp>
        <stp>Volume</stp>
        <stp/>
        <stp>42843.3333333333</stp>
        <tr r="AX56" s="15"/>
      </tp>
      <tp>
        <v>3891859</v>
        <stp/>
        <stp>*H</stp>
        <stp>ICE</stp>
        <stp>Volume</stp>
        <stp/>
        <stp>42858.3333333333</stp>
        <tr r="AX45" s="15"/>
      </tp>
      <tp>
        <v>3288441</v>
        <stp/>
        <stp>*H</stp>
        <stp>ICE</stp>
        <stp>Volume</stp>
        <stp/>
        <stp>42859.3333333333</stp>
        <tr r="AX44" s="15"/>
      </tp>
      <tp>
        <v>3246615</v>
        <stp/>
        <stp>*H</stp>
        <stp>ICE</stp>
        <stp>Volume</stp>
        <stp/>
        <stp>42856.3333333333</stp>
        <tr r="AX47" s="15"/>
      </tp>
      <tp>
        <v>3602655</v>
        <stp/>
        <stp>*H</stp>
        <stp>ICE</stp>
        <stp>Volume</stp>
        <stp/>
        <stp>42857.3333333333</stp>
        <tr r="AX46" s="15"/>
      </tp>
      <tp>
        <v>1852563</v>
        <stp/>
        <stp>*H</stp>
        <stp>ICE</stp>
        <stp>Volume</stp>
        <stp/>
        <stp>42850.3333333333</stp>
        <tr r="AX51" s="15"/>
      </tp>
      <tp>
        <v>1719192</v>
        <stp/>
        <stp>*H</stp>
        <stp>ICE</stp>
        <stp>Volume</stp>
        <stp/>
        <stp>42851.3333333333</stp>
        <tr r="AX50" s="15"/>
      </tp>
      <tp>
        <v>2651836</v>
        <stp/>
        <stp>*H</stp>
        <stp>ICE</stp>
        <stp>Volume</stp>
        <stp/>
        <stp>42852.3333333333</stp>
        <tr r="AX49" s="15"/>
      </tp>
      <tp>
        <v>2961129</v>
        <stp/>
        <stp>*H</stp>
        <stp>ICE</stp>
        <stp>Volume</stp>
        <stp/>
        <stp>42853.3333333333</stp>
        <tr r="AX48" s="15"/>
      </tp>
      <tp>
        <v>2561247</v>
        <stp/>
        <stp>*H</stp>
        <stp>ICE</stp>
        <stp>Volume</stp>
        <stp/>
        <stp>42828.3333333333</stp>
        <tr r="AX66" s="15"/>
      </tp>
      <tp>
        <v>2445652</v>
        <stp/>
        <stp>*H</stp>
        <stp>ICE</stp>
        <stp>Volume</stp>
        <stp/>
        <stp>42829.3333333333</stp>
        <tr r="AX65" s="15"/>
      </tp>
      <tp>
        <v>2030398</v>
        <stp/>
        <stp>*H</stp>
        <stp>ICE</stp>
        <stp>Volume</stp>
        <stp/>
        <stp>42824.3333333333</stp>
        <tr r="AX68" s="15"/>
      </tp>
      <tp>
        <v>2099490</v>
        <stp/>
        <stp>*H</stp>
        <stp>ICE</stp>
        <stp>Volume</stp>
        <stp/>
        <stp>42825.3333333333</stp>
        <tr r="AX67" s="15"/>
      </tp>
      <tp>
        <v>1922738</v>
        <stp/>
        <stp>*H</stp>
        <stp>ICE</stp>
        <stp>Volume</stp>
        <stp/>
        <stp>42821.3333333333</stp>
        <tr r="AX71" s="15"/>
      </tp>
      <tp>
        <v>2076526</v>
        <stp/>
        <stp>*H</stp>
        <stp>ICE</stp>
        <stp>Volume</stp>
        <stp/>
        <stp>42822.3333333333</stp>
        <tr r="AX70" s="15"/>
      </tp>
      <tp>
        <v>1890686</v>
        <stp/>
        <stp>*H</stp>
        <stp>ICE</stp>
        <stp>Volume</stp>
        <stp/>
        <stp>42823.3333333333</stp>
        <tr r="AX69" s="15"/>
      </tp>
      <tp>
        <v>1644556</v>
        <stp/>
        <stp>*H</stp>
        <stp>ICE</stp>
        <stp>Volume</stp>
        <stp/>
        <stp>42838.3333333333</stp>
        <tr r="AX58" s="15"/>
      </tp>
      <tp>
        <v>2667200</v>
        <stp/>
        <stp>*H</stp>
        <stp>ICE</stp>
        <stp>Volume</stp>
        <stp/>
        <stp>42835.3333333333</stp>
        <tr r="AX61" s="15"/>
      </tp>
      <tp>
        <v>3242017</v>
        <stp/>
        <stp>*H</stp>
        <stp>ICE</stp>
        <stp>Volume</stp>
        <stp/>
        <stp>42836.3333333333</stp>
        <tr r="AX60" s="15"/>
      </tp>
      <tp>
        <v>2386463</v>
        <stp/>
        <stp>*H</stp>
        <stp>ICE</stp>
        <stp>Volume</stp>
        <stp/>
        <stp>42837.3333333333</stp>
        <tr r="AX59" s="15"/>
      </tp>
      <tp>
        <v>3067275</v>
        <stp/>
        <stp>*H</stp>
        <stp>ICE</stp>
        <stp>Volume</stp>
        <stp/>
        <stp>42830.3333333333</stp>
        <tr r="AX64" s="15"/>
      </tp>
      <tp>
        <v>3361025</v>
        <stp/>
        <stp>*H</stp>
        <stp>ICE</stp>
        <stp>Volume</stp>
        <stp/>
        <stp>42831.3333333333</stp>
        <tr r="AX63" s="15"/>
      </tp>
      <tp>
        <v>3876495</v>
        <stp/>
        <stp>*H</stp>
        <stp>ICE</stp>
        <stp>Volume</stp>
        <stp/>
        <stp>42832.3333333333</stp>
        <tr r="AX62" s="15"/>
      </tp>
      <tp>
        <v>3413762</v>
        <stp/>
        <stp>*H</stp>
        <stp>ICE</stp>
        <stp>Volume</stp>
        <stp/>
        <stp>42808.3333333333</stp>
        <tr r="AX80" s="15"/>
      </tp>
      <tp>
        <v>2791394</v>
        <stp/>
        <stp>*H</stp>
        <stp>ICE</stp>
        <stp>Volume</stp>
        <stp/>
        <stp>42809.3333333333</stp>
        <tr r="AX79" s="15"/>
      </tp>
      <tp>
        <v>4264014</v>
        <stp/>
        <stp>*H</stp>
        <stp>ICE</stp>
        <stp>Volume</stp>
        <stp/>
        <stp>42807.3333333333</stp>
        <tr r="AX81" s="15"/>
      </tp>
      <tp>
        <v>2536089</v>
        <stp/>
        <stp>*H</stp>
        <stp>ICE</stp>
        <stp>Volume</stp>
        <stp/>
        <stp>42818.3333333333</stp>
        <tr r="AX72" s="15"/>
      </tp>
      <tp>
        <v>2321124</v>
        <stp/>
        <stp>*H</stp>
        <stp>ICE</stp>
        <stp>Volume</stp>
        <stp/>
        <stp>42814.3333333333</stp>
        <tr r="AX76" s="15"/>
      </tp>
      <tp>
        <v>3332353</v>
        <stp/>
        <stp>*H</stp>
        <stp>ICE</stp>
        <stp>Volume</stp>
        <stp/>
        <stp>42815.3333333333</stp>
        <tr r="AX75" s="15"/>
      </tp>
      <tp>
        <v>2120709</v>
        <stp/>
        <stp>*H</stp>
        <stp>ICE</stp>
        <stp>Volume</stp>
        <stp/>
        <stp>42816.3333333333</stp>
        <tr r="AX74" s="15"/>
      </tp>
      <tp>
        <v>2433474</v>
        <stp/>
        <stp>*H</stp>
        <stp>ICE</stp>
        <stp>Volume</stp>
        <stp/>
        <stp>42817.3333333333</stp>
        <tr r="AX73" s="15"/>
      </tp>
      <tp>
        <v>3933178</v>
        <stp/>
        <stp>*H</stp>
        <stp>ICE</stp>
        <stp>Volume</stp>
        <stp/>
        <stp>42810.3333333333</stp>
        <tr r="AX78" s="15"/>
      </tp>
      <tp>
        <v>4871186</v>
        <stp/>
        <stp>*H</stp>
        <stp>ICE</stp>
        <stp>Volume</stp>
        <stp/>
        <stp>42811.3333333333</stp>
        <tr r="AX77" s="15"/>
      </tp>
      <tp>
        <v>2609657</v>
        <stp/>
        <stp>*H</stp>
        <stp>ICE</stp>
        <stp>Volume</stp>
        <stp/>
        <stp>42888.3333333333</stp>
        <tr r="AX24" s="15"/>
      </tp>
      <tp>
        <v>1981261</v>
        <stp/>
        <stp>*H</stp>
        <stp>ICE</stp>
        <stp>Volume</stp>
        <stp/>
        <stp>42885.3333333333</stp>
        <tr r="AX27" s="15"/>
      </tp>
      <tp>
        <v>2710483</v>
        <stp/>
        <stp>*H</stp>
        <stp>ICE</stp>
        <stp>Volume</stp>
        <stp/>
        <stp>42886.3333333333</stp>
        <tr r="AX26" s="15"/>
      </tp>
      <tp>
        <v>2777923</v>
        <stp/>
        <stp>*H</stp>
        <stp>ICE</stp>
        <stp>Volume</stp>
        <stp/>
        <stp>42887.3333333333</stp>
        <tr r="AX25" s="15"/>
      </tp>
      <tp>
        <v>1518529</v>
        <stp/>
        <stp>*H</stp>
        <stp>ICE</stp>
        <stp>Volume</stp>
        <stp/>
        <stp>42880.3333333333</stp>
        <tr r="AX29" s="15"/>
      </tp>
      <tp>
        <v>1346223</v>
        <stp/>
        <stp>*H</stp>
        <stp>ICE</stp>
        <stp>Volume</stp>
        <stp/>
        <stp>42881.3333333333</stp>
        <tr r="AX28" s="15"/>
      </tp>
      <tp>
        <v>3243315</v>
        <stp/>
        <stp>*H</stp>
        <stp>ICE</stp>
        <stp>Volume</stp>
        <stp/>
        <stp>42898.3333333333</stp>
        <tr r="AX18" s="15"/>
      </tp>
      <tp>
        <v>2327089</v>
        <stp/>
        <stp>*H</stp>
        <stp>ICE</stp>
        <stp>Volume</stp>
        <stp/>
        <stp>42899.3333333333</stp>
        <tr r="AX17" s="15"/>
      </tp>
      <tp>
        <v>3746112</v>
        <stp/>
        <stp>*H</stp>
        <stp>ICE</stp>
        <stp>Volume</stp>
        <stp/>
        <stp>42894.3333333333</stp>
        <tr r="AX20" s="15"/>
      </tp>
      <tp>
        <v>4046918</v>
        <stp/>
        <stp>*H</stp>
        <stp>ICE</stp>
        <stp>Volume</stp>
        <stp/>
        <stp>42895.3333333333</stp>
        <tr r="AX19" s="15"/>
      </tp>
      <tp>
        <v>3963879</v>
        <stp/>
        <stp>*H</stp>
        <stp>ICE</stp>
        <stp>Volume</stp>
        <stp/>
        <stp>42891.3333333333</stp>
        <tr r="AX23" s="15"/>
      </tp>
      <tp>
        <v>3409331</v>
        <stp/>
        <stp>*H</stp>
        <stp>ICE</stp>
        <stp>Volume</stp>
        <stp/>
        <stp>42892.3333333333</stp>
        <tr r="AX22" s="15"/>
      </tp>
      <tp>
        <v>4773891</v>
        <stp/>
        <stp>*H</stp>
        <stp>ICE</stp>
        <stp>Volume</stp>
        <stp/>
        <stp>42893.3333333333</stp>
        <tr r="AX21" s="15"/>
      </tp>
      <tp>
        <v>2019875</v>
        <stp/>
        <stp>*H</stp>
        <stp>ICE</stp>
        <stp>Volume</stp>
        <stp/>
        <stp>42569.3333333333</stp>
        <tr r="AX245" s="15"/>
      </tp>
      <tp>
        <v>1821450</v>
        <stp/>
        <stp>*H</stp>
        <stp>ICE</stp>
        <stp>Volume</stp>
        <stp/>
        <stp>42564.3333333333</stp>
        <tr r="AX248" s="15"/>
      </tp>
      <tp>
        <v>1977915</v>
        <stp/>
        <stp>*H</stp>
        <stp>ICE</stp>
        <stp>Volume</stp>
        <stp/>
        <stp>42565.3333333333</stp>
        <tr r="AX247" s="15"/>
      </tp>
      <tp>
        <v>2297370</v>
        <stp/>
        <stp>*H</stp>
        <stp>ICE</stp>
        <stp>Volume</stp>
        <stp/>
        <stp>42566.3333333333</stp>
        <tr r="AX246" s="15"/>
      </tp>
      <tp>
        <v>1897390</v>
        <stp/>
        <stp>*H</stp>
        <stp>ICE</stp>
        <stp>Volume</stp>
        <stp/>
        <stp>42562.3333333333</stp>
        <tr r="AX250" s="15"/>
      </tp>
      <tp>
        <v>3095475</v>
        <stp/>
        <stp>*H</stp>
        <stp>ICE</stp>
        <stp>Volume</stp>
        <stp/>
        <stp>42563.3333333333</stp>
        <tr r="AX249" s="15"/>
      </tp>
      <tp>
        <v>1866540</v>
        <stp/>
        <stp>*H</stp>
        <stp>ICE</stp>
        <stp>Volume</stp>
        <stp/>
        <stp>42578.3333333333</stp>
        <tr r="AX238" s="15"/>
      </tp>
      <tp>
        <v>2935805</v>
        <stp/>
        <stp>*H</stp>
        <stp>ICE</stp>
        <stp>Volume</stp>
        <stp/>
        <stp>42579.3333333333</stp>
        <tr r="AX237" s="15"/>
      </tp>
      <tp>
        <v>1520320</v>
        <stp/>
        <stp>*H</stp>
        <stp>ICE</stp>
        <stp>Volume</stp>
        <stp/>
        <stp>42576.3333333333</stp>
        <tr r="AX240" s="15"/>
      </tp>
      <tp>
        <v>1285935</v>
        <stp/>
        <stp>*H</stp>
        <stp>ICE</stp>
        <stp>Volume</stp>
        <stp/>
        <stp>42577.3333333333</stp>
        <tr r="AX239" s="15"/>
      </tp>
      <tp>
        <v>1545140</v>
        <stp/>
        <stp>*H</stp>
        <stp>ICE</stp>
        <stp>Volume</stp>
        <stp/>
        <stp>42570.3333333333</stp>
        <tr r="AX244" s="15"/>
      </tp>
      <tp>
        <v>3431955</v>
        <stp/>
        <stp>*H</stp>
        <stp>ICE</stp>
        <stp>Volume</stp>
        <stp/>
        <stp>42571.3333333333</stp>
        <tr r="AX243" s="15"/>
      </tp>
      <tp>
        <v>1479755</v>
        <stp/>
        <stp>*H</stp>
        <stp>ICE</stp>
        <stp>Volume</stp>
        <stp/>
        <stp>42572.3333333333</stp>
        <tr r="AX242" s="15"/>
      </tp>
      <tp>
        <v>1402055</v>
        <stp/>
        <stp>*H</stp>
        <stp>ICE</stp>
        <stp>Volume</stp>
        <stp/>
        <stp>42573.3333333333</stp>
        <tr r="AX241" s="15"/>
      </tp>
      <tp>
        <v>4479215</v>
        <stp/>
        <stp>*H</stp>
        <stp>ICE</stp>
        <stp>Volume</stp>
        <stp/>
        <stp>42548.3333333333</stp>
        <tr r="AX259" s="15"/>
      </tp>
      <tp>
        <v>5460390</v>
        <stp/>
        <stp>*H</stp>
        <stp>ICE</stp>
        <stp>Volume</stp>
        <stp/>
        <stp>42549.3333333333</stp>
        <tr r="AX258" s="15"/>
      </tp>
      <tp>
        <v>3844685</v>
        <stp/>
        <stp>*H</stp>
        <stp>ICE</stp>
        <stp>Volume</stp>
        <stp/>
        <stp>42544.3333333333</stp>
        <tr r="AX261" s="15"/>
      </tp>
      <tp>
        <v>12361620</v>
        <stp/>
        <stp>*H</stp>
        <stp>ICE</stp>
        <stp>Volume</stp>
        <stp/>
        <stp>42545.3333333333</stp>
        <tr r="AX260" s="15"/>
      </tp>
      <tp>
        <v>4078385</v>
        <stp/>
        <stp>*H</stp>
        <stp>ICE</stp>
        <stp>Volume</stp>
        <stp/>
        <stp>42541.3333333333</stp>
        <tr r="AX264" s="15"/>
      </tp>
      <tp>
        <v>3463780</v>
        <stp/>
        <stp>*H</stp>
        <stp>ICE</stp>
        <stp>Volume</stp>
        <stp/>
        <stp>42542.3333333333</stp>
        <tr r="AX263" s="15"/>
      </tp>
      <tp>
        <v>3392450</v>
        <stp/>
        <stp>*H</stp>
        <stp>ICE</stp>
        <stp>Volume</stp>
        <stp/>
        <stp>42543.3333333333</stp>
        <tr r="AX262" s="15"/>
      </tp>
      <tp>
        <v>3344590</v>
        <stp/>
        <stp>*H</stp>
        <stp>ICE</stp>
        <stp>Volume</stp>
        <stp/>
        <stp>42558.3333333333</stp>
        <tr r="AX252" s="15"/>
      </tp>
      <tp>
        <v>2346395</v>
        <stp/>
        <stp>*H</stp>
        <stp>ICE</stp>
        <stp>Volume</stp>
        <stp/>
        <stp>42559.3333333333</stp>
        <tr r="AX251" s="15"/>
      </tp>
      <tp>
        <v>2731475</v>
        <stp/>
        <stp>*H</stp>
        <stp>ICE</stp>
        <stp>Volume</stp>
        <stp/>
        <stp>42556.3333333333</stp>
        <tr r="AX254" s="15"/>
      </tp>
      <tp>
        <v>3859160</v>
        <stp/>
        <stp>*H</stp>
        <stp>ICE</stp>
        <stp>Volume</stp>
        <stp/>
        <stp>42557.3333333333</stp>
        <tr r="AX253" s="15"/>
      </tp>
      <tp>
        <v>4377025</v>
        <stp/>
        <stp>*H</stp>
        <stp>ICE</stp>
        <stp>Volume</stp>
        <stp/>
        <stp>42550.3333333333</stp>
        <tr r="AX257" s="15"/>
      </tp>
      <tp>
        <v>4279825</v>
        <stp/>
        <stp>*H</stp>
        <stp>ICE</stp>
        <stp>Volume</stp>
        <stp/>
        <stp>42551.3333333333</stp>
        <tr r="AX256" s="15"/>
      </tp>
      <tp>
        <v>2740430</v>
        <stp/>
        <stp>*H</stp>
        <stp>ICE</stp>
        <stp>Volume</stp>
        <stp/>
        <stp>42552.3333333333</stp>
        <tr r="AX255" s="15"/>
      </tp>
      <tp>
        <v>3856050</v>
        <stp/>
        <stp>*H</stp>
        <stp>ICE</stp>
        <stp>Volume</stp>
        <stp/>
        <stp>42528.3333333333</stp>
        <tr r="AX273" s="15"/>
      </tp>
      <tp>
        <v>2272570</v>
        <stp/>
        <stp>*H</stp>
        <stp>ICE</stp>
        <stp>Volume</stp>
        <stp/>
        <stp>42529.3333333333</stp>
        <tr r="AX272" s="15"/>
      </tp>
      <tp>
        <v>4876045</v>
        <stp/>
        <stp>*H</stp>
        <stp>ICE</stp>
        <stp>Volume</stp>
        <stp/>
        <stp>42524.3333333333</stp>
        <tr r="AX275" s="15"/>
      </tp>
      <tp>
        <v>4610010</v>
        <stp/>
        <stp>*H</stp>
        <stp>ICE</stp>
        <stp>Volume</stp>
        <stp/>
        <stp>42527.3333333333</stp>
        <tr r="AX274" s="15"/>
      </tp>
      <tp>
        <v>3266320</v>
        <stp/>
        <stp>*H</stp>
        <stp>ICE</stp>
        <stp>Volume</stp>
        <stp/>
        <stp>42521.3333333333</stp>
        <tr r="AX278" s="15"/>
      </tp>
      <tp>
        <v>3999590</v>
        <stp/>
        <stp>*H</stp>
        <stp>ICE</stp>
        <stp>Volume</stp>
        <stp/>
        <stp>42522.3333333333</stp>
        <tr r="AX277" s="15"/>
      </tp>
      <tp>
        <v>3801465</v>
        <stp/>
        <stp>*H</stp>
        <stp>ICE</stp>
        <stp>Volume</stp>
        <stp/>
        <stp>42523.3333333333</stp>
        <tr r="AX276" s="15"/>
      </tp>
      <tp>
        <v>3280725</v>
        <stp/>
        <stp>*H</stp>
        <stp>ICE</stp>
        <stp>Volume</stp>
        <stp/>
        <stp>42538.3333333333</stp>
        <tr r="AX265" s="15"/>
      </tp>
      <tp>
        <v>3665735</v>
        <stp/>
        <stp>*H</stp>
        <stp>ICE</stp>
        <stp>Volume</stp>
        <stp/>
        <stp>42534.3333333333</stp>
        <tr r="AX269" s="15"/>
      </tp>
      <tp>
        <v>3986665</v>
        <stp/>
        <stp>*H</stp>
        <stp>ICE</stp>
        <stp>Volume</stp>
        <stp/>
        <stp>42535.3333333333</stp>
        <tr r="AX268" s="15"/>
      </tp>
      <tp>
        <v>3974725</v>
        <stp/>
        <stp>*H</stp>
        <stp>ICE</stp>
        <stp>Volume</stp>
        <stp/>
        <stp>42536.3333333333</stp>
        <tr r="AX267" s="15"/>
      </tp>
      <tp>
        <v>2927065</v>
        <stp/>
        <stp>*H</stp>
        <stp>ICE</stp>
        <stp>Volume</stp>
        <stp/>
        <stp>42537.3333333333</stp>
        <tr r="AX266" s="15"/>
      </tp>
      <tp>
        <v>3510635</v>
        <stp/>
        <stp>*H</stp>
        <stp>ICE</stp>
        <stp>Volume</stp>
        <stp/>
        <stp>42530.3333333333</stp>
        <tr r="AX271" s="15"/>
      </tp>
      <tp>
        <v>2980315</v>
        <stp/>
        <stp>*H</stp>
        <stp>ICE</stp>
        <stp>Volume</stp>
        <stp/>
        <stp>42531.3333333333</stp>
        <tr r="AX270" s="15"/>
      </tp>
      <tp>
        <v>3055180</v>
        <stp/>
        <stp>*H</stp>
        <stp>ICE</stp>
        <stp>Volume</stp>
        <stp/>
        <stp>42508.3333333333</stp>
        <tr r="AX286" s="15"/>
      </tp>
      <tp>
        <v>4613685</v>
        <stp/>
        <stp>*H</stp>
        <stp>ICE</stp>
        <stp>Volume</stp>
        <stp/>
        <stp>42509.3333333333</stp>
        <tr r="AX285" s="15"/>
      </tp>
      <tp>
        <v>3592380</v>
        <stp/>
        <stp>*H</stp>
        <stp>ICE</stp>
        <stp>Volume</stp>
        <stp/>
        <stp>42506.3333333333</stp>
        <tr r="AX288" s="15"/>
      </tp>
      <tp>
        <v>3748580</v>
        <stp/>
        <stp>*H</stp>
        <stp>ICE</stp>
        <stp>Volume</stp>
        <stp/>
        <stp>42507.3333333333</stp>
        <tr r="AX287" s="15"/>
      </tp>
      <tp>
        <v>5001320</v>
        <stp/>
        <stp>*H</stp>
        <stp>ICE</stp>
        <stp>Volume</stp>
        <stp/>
        <stp>42500.3333333333</stp>
        <tr r="AX292" s="15"/>
      </tp>
      <tp>
        <v>2994175</v>
        <stp/>
        <stp>*H</stp>
        <stp>ICE</stp>
        <stp>Volume</stp>
        <stp/>
        <stp>42501.3333333333</stp>
        <tr r="AX291" s="15"/>
      </tp>
      <tp>
        <v>2766805</v>
        <stp/>
        <stp>*H</stp>
        <stp>ICE</stp>
        <stp>Volume</stp>
        <stp/>
        <stp>42502.3333333333</stp>
        <tr r="AX290" s="15"/>
      </tp>
      <tp>
        <v>3527970</v>
        <stp/>
        <stp>*H</stp>
        <stp>ICE</stp>
        <stp>Volume</stp>
        <stp/>
        <stp>42503.3333333333</stp>
        <tr r="AX289" s="15"/>
      </tp>
      <tp>
        <v>6396455</v>
        <stp/>
        <stp>*H</stp>
        <stp>ICE</stp>
        <stp>Volume</stp>
        <stp/>
        <stp>42514.3333333333</stp>
        <tr r="AX282" s="15"/>
      </tp>
      <tp>
        <v>3890730</v>
        <stp/>
        <stp>*H</stp>
        <stp>ICE</stp>
        <stp>Volume</stp>
        <stp/>
        <stp>42515.3333333333</stp>
        <tr r="AX281" s="15"/>
      </tp>
      <tp>
        <v>3203360</v>
        <stp/>
        <stp>*H</stp>
        <stp>ICE</stp>
        <stp>Volume</stp>
        <stp/>
        <stp>42516.3333333333</stp>
        <tr r="AX280" s="15"/>
      </tp>
      <tp>
        <v>2844800</v>
        <stp/>
        <stp>*H</stp>
        <stp>ICE</stp>
        <stp>Volume</stp>
        <stp/>
        <stp>42517.3333333333</stp>
        <tr r="AX279" s="15"/>
      </tp>
      <tp>
        <v>5795945</v>
        <stp/>
        <stp>*H</stp>
        <stp>ICE</stp>
        <stp>Volume</stp>
        <stp/>
        <stp>42510.3333333333</stp>
        <tr r="AX284" s="15"/>
      </tp>
      <tp>
        <v>3199455</v>
        <stp/>
        <stp>*H</stp>
        <stp>ICE</stp>
        <stp>Volume</stp>
        <stp/>
        <stp>42513.3333333333</stp>
        <tr r="AX283" s="15"/>
      </tp>
      <tp>
        <v>3098725</v>
        <stp/>
        <stp>*H</stp>
        <stp>ICE</stp>
        <stp>Volume</stp>
        <stp/>
        <stp>42584.3333333333</stp>
        <tr r="AX234" s="15"/>
      </tp>
      <tp>
        <v>10269435</v>
        <stp/>
        <stp>*H</stp>
        <stp>ICE</stp>
        <stp>Volume</stp>
        <stp/>
        <stp>42585.3333333333</stp>
        <tr r="AX233" s="15"/>
      </tp>
      <tp>
        <v>3667720</v>
        <stp/>
        <stp>*H</stp>
        <stp>ICE</stp>
        <stp>Volume</stp>
        <stp/>
        <stp>42586.3333333333</stp>
        <tr r="AX232" s="15"/>
      </tp>
      <tp>
        <v>3286680</v>
        <stp/>
        <stp>*H</stp>
        <stp>ICE</stp>
        <stp>Volume</stp>
        <stp/>
        <stp>42587.3333333333</stp>
        <tr r="AX231" s="15"/>
      </tp>
      <tp>
        <v>1873575</v>
        <stp/>
        <stp>*H</stp>
        <stp>ICE</stp>
        <stp>Volume</stp>
        <stp/>
        <stp>42580.3333333333</stp>
        <tr r="AX236" s="15"/>
      </tp>
      <tp>
        <v>2237030</v>
        <stp/>
        <stp>*H</stp>
        <stp>ICE</stp>
        <stp>Volume</stp>
        <stp/>
        <stp>42583.3333333333</stp>
        <tr r="AX235" s="15"/>
      </tp>
      <tp>
        <v>1932345</v>
        <stp/>
        <stp>*H</stp>
        <stp>ICE</stp>
        <stp>Volume</stp>
        <stp/>
        <stp>42598.3333333333</stp>
        <tr r="AX224" s="15"/>
      </tp>
      <tp>
        <v>2057650</v>
        <stp/>
        <stp>*H</stp>
        <stp>ICE</stp>
        <stp>Volume</stp>
        <stp/>
        <stp>42599.3333333333</stp>
        <tr r="AX223" s="15"/>
      </tp>
      <tp>
        <v>1717190</v>
        <stp/>
        <stp>*H</stp>
        <stp>ICE</stp>
        <stp>Volume</stp>
        <stp/>
        <stp>42594.3333333333</stp>
        <tr r="AX226" s="15"/>
      </tp>
      <tp>
        <v>2393630</v>
        <stp/>
        <stp>*H</stp>
        <stp>ICE</stp>
        <stp>Volume</stp>
        <stp/>
        <stp>42597.3333333333</stp>
        <tr r="AX225" s="15"/>
      </tp>
      <tp>
        <v>2953070</v>
        <stp/>
        <stp>*H</stp>
        <stp>ICE</stp>
        <stp>Volume</stp>
        <stp/>
        <stp>42590.3333333333</stp>
        <tr r="AX230" s="15"/>
      </tp>
      <tp>
        <v>1960025</v>
        <stp/>
        <stp>*H</stp>
        <stp>ICE</stp>
        <stp>Volume</stp>
        <stp/>
        <stp>42591.3333333333</stp>
        <tr r="AX229" s="15"/>
      </tp>
      <tp>
        <v>1937200</v>
        <stp/>
        <stp>*H</stp>
        <stp>ICE</stp>
        <stp>Volume</stp>
        <stp/>
        <stp>42592.3333333333</stp>
        <tr r="AX228" s="15"/>
      </tp>
      <tp>
        <v>1798230</v>
        <stp/>
        <stp>*H</stp>
        <stp>ICE</stp>
        <stp>Volume</stp>
        <stp/>
        <stp>42593.3333333333</stp>
        <tr r="AX227" s="15"/>
      </tp>
      <tp>
        <v>1737835</v>
        <stp/>
        <stp>*H</stp>
        <stp>ICE</stp>
        <stp>Volume</stp>
        <stp/>
        <stp>42488.3333333333</stp>
        <tr r="AX300" s="15"/>
      </tp>
      <tp>
        <v>3020515</v>
        <stp/>
        <stp>*H</stp>
        <stp>ICE</stp>
        <stp>Volume</stp>
        <stp/>
        <stp>42489.3333333333</stp>
        <tr r="AX299" s="15"/>
      </tp>
      <tp>
        <v>2897060</v>
        <stp/>
        <stp>*H</stp>
        <stp>ICE</stp>
        <stp>Volume</stp>
        <stp/>
        <stp>42485.3333333333</stp>
        <tr r="AX303" s="15"/>
      </tp>
      <tp>
        <v>2367775</v>
        <stp/>
        <stp>*H</stp>
        <stp>ICE</stp>
        <stp>Volume</stp>
        <stp/>
        <stp>42486.3333333333</stp>
        <tr r="AX302" s="15"/>
      </tp>
      <tp>
        <v>1999990</v>
        <stp/>
        <stp>*H</stp>
        <stp>ICE</stp>
        <stp>Volume</stp>
        <stp/>
        <stp>42487.3333333333</stp>
        <tr r="AX301" s="15"/>
      </tp>
      <tp>
        <v>2620020</v>
        <stp/>
        <stp>*H</stp>
        <stp>ICE</stp>
        <stp>Volume</stp>
        <stp/>
        <stp>42480.3333333333</stp>
        <tr r="AX306" s="15"/>
      </tp>
      <tp>
        <v>2532455</v>
        <stp/>
        <stp>*H</stp>
        <stp>ICE</stp>
        <stp>Volume</stp>
        <stp/>
        <stp>42481.3333333333</stp>
        <tr r="AX305" s="15"/>
      </tp>
      <tp>
        <v>2897900</v>
        <stp/>
        <stp>*H</stp>
        <stp>ICE</stp>
        <stp>Volume</stp>
        <stp/>
        <stp>42482.3333333333</stp>
        <tr r="AX304" s="15"/>
      </tp>
      <tp>
        <v>5617130</v>
        <stp/>
        <stp>*H</stp>
        <stp>ICE</stp>
        <stp>Volume</stp>
        <stp/>
        <stp>42499.3333333333</stp>
        <tr r="AX293" s="15"/>
      </tp>
      <tp>
        <v>14339095</v>
        <stp/>
        <stp>*H</stp>
        <stp>ICE</stp>
        <stp>Volume</stp>
        <stp/>
        <stp>42494.3333333333</stp>
        <tr r="AX296" s="15"/>
      </tp>
      <tp>
        <v>7107010</v>
        <stp/>
        <stp>*H</stp>
        <stp>ICE</stp>
        <stp>Volume</stp>
        <stp/>
        <stp>42495.3333333333</stp>
        <tr r="AX295" s="15"/>
      </tp>
      <tp>
        <v>3986600</v>
        <stp/>
        <stp>*H</stp>
        <stp>ICE</stp>
        <stp>Volume</stp>
        <stp/>
        <stp>42496.3333333333</stp>
        <tr r="AX294" s="15"/>
      </tp>
      <tp>
        <v>4452330</v>
        <stp/>
        <stp>*H</stp>
        <stp>ICE</stp>
        <stp>Volume</stp>
        <stp/>
        <stp>42492.3333333333</stp>
        <tr r="AX298" s="15"/>
      </tp>
      <tp>
        <v>3408040</v>
        <stp/>
        <stp>*H</stp>
        <stp>ICE</stp>
        <stp>Volume</stp>
        <stp/>
        <stp>42493.3333333333</stp>
        <tr r="AX297" s="15"/>
      </tp>
      <tp>
        <v>735481</v>
        <stp/>
        <stp>*H</stp>
        <stp>ICE</stp>
        <stp>Volume</stp>
        <stp/>
        <stp>42699.2916666667</stp>
        <tr r="AX153" s="15"/>
      </tp>
      <tp>
        <v>3369269</v>
        <stp/>
        <stp>*H</stp>
        <stp>ICE</stp>
        <stp>Volume</stp>
        <stp/>
        <stp>42692.2916666667</stp>
        <tr r="AX157" s="15"/>
      </tp>
      <tp>
        <v>3179477</v>
        <stp/>
        <stp>*H</stp>
        <stp>ICE</stp>
        <stp>Volume</stp>
        <stp/>
        <stp>42691.2916666667</stp>
        <tr r="AX158" s="15"/>
      </tp>
      <tp>
        <v>4521838</v>
        <stp/>
        <stp>*H</stp>
        <stp>ICE</stp>
        <stp>Volume</stp>
        <stp/>
        <stp>42690.2916666667</stp>
        <tr r="AX159" s="15"/>
      </tp>
      <tp>
        <v>2560124</v>
        <stp/>
        <stp>*H</stp>
        <stp>ICE</stp>
        <stp>Volume</stp>
        <stp/>
        <stp>42697.2916666667</stp>
        <tr r="AX154" s="15"/>
      </tp>
      <tp>
        <v>3086697</v>
        <stp/>
        <stp>*H</stp>
        <stp>ICE</stp>
        <stp>Volume</stp>
        <stp/>
        <stp>42696.2916666667</stp>
        <tr r="AX155" s="15"/>
      </tp>
      <tp>
        <v>3315666</v>
        <stp/>
        <stp>*H</stp>
        <stp>ICE</stp>
        <stp>Volume</stp>
        <stp/>
        <stp>42695.2916666667</stp>
        <tr r="AX156" s="15"/>
      </tp>
      <tp>
        <v>2855696</v>
        <stp/>
        <stp>*H</stp>
        <stp>ICE</stp>
        <stp>Volume</stp>
        <stp/>
        <stp>42689.2916666667</stp>
        <tr r="AX160" s="15"/>
      </tp>
      <tp>
        <v>3968830</v>
        <stp/>
        <stp>*H</stp>
        <stp>ICE</stp>
        <stp>Volume</stp>
        <stp/>
        <stp>42688.2916666667</stp>
        <tr r="AX161" s="15"/>
      </tp>
      <tp>
        <v>4936999</v>
        <stp/>
        <stp>*H</stp>
        <stp>ICE</stp>
        <stp>Volume</stp>
        <stp/>
        <stp>42683.2916666667</stp>
        <tr r="AX164" s="15"/>
      </tp>
      <tp>
        <v>2192259</v>
        <stp/>
        <stp>*H</stp>
        <stp>ICE</stp>
        <stp>Volume</stp>
        <stp/>
        <stp>42682.2916666667</stp>
        <tr r="AX165" s="15"/>
      </tp>
      <tp>
        <v>3395791</v>
        <stp/>
        <stp>*H</stp>
        <stp>ICE</stp>
        <stp>Volume</stp>
        <stp/>
        <stp>42681.2916666667</stp>
        <tr r="AX166" s="15"/>
      </tp>
      <tp>
        <v>3415741</v>
        <stp/>
        <stp>*H</stp>
        <stp>ICE</stp>
        <stp>Volume</stp>
        <stp/>
        <stp>42685.2916666667</stp>
        <tr r="AX162" s="15"/>
      </tp>
      <tp>
        <v>3780301</v>
        <stp/>
        <stp>*H</stp>
        <stp>ICE</stp>
        <stp>Volume</stp>
        <stp/>
        <stp>42684.2916666667</stp>
        <tr r="AX163" s="15"/>
      </tp>
      <tp>
        <v>1972120</v>
        <stp/>
        <stp>*H</stp>
        <stp>ICE</stp>
        <stp>Volume</stp>
        <stp/>
        <stp>42668.3333333333</stp>
        <tr r="AX175" s="15"/>
      </tp>
      <tp>
        <v>2019285</v>
        <stp/>
        <stp>*H</stp>
        <stp>ICE</stp>
        <stp>Volume</stp>
        <stp/>
        <stp>42669.3333333333</stp>
        <tr r="AX174" s="15"/>
      </tp>
      <tp>
        <v>2494635</v>
        <stp/>
        <stp>*H</stp>
        <stp>ICE</stp>
        <stp>Volume</stp>
        <stp/>
        <stp>42664.3333333333</stp>
        <tr r="AX177" s="15"/>
      </tp>
      <tp>
        <v>1552570</v>
        <stp/>
        <stp>*H</stp>
        <stp>ICE</stp>
        <stp>Volume</stp>
        <stp/>
        <stp>42667.3333333333</stp>
        <tr r="AX176" s="15"/>
      </tp>
      <tp>
        <v>2352105</v>
        <stp/>
        <stp>*H</stp>
        <stp>ICE</stp>
        <stp>Volume</stp>
        <stp/>
        <stp>42660.3333333333</stp>
        <tr r="AX181" s="15"/>
      </tp>
      <tp>
        <v>1899055</v>
        <stp/>
        <stp>*H</stp>
        <stp>ICE</stp>
        <stp>Volume</stp>
        <stp/>
        <stp>42661.3333333333</stp>
        <tr r="AX180" s="15"/>
      </tp>
      <tp>
        <v>1898985</v>
        <stp/>
        <stp>*H</stp>
        <stp>ICE</stp>
        <stp>Volume</stp>
        <stp/>
        <stp>42662.3333333333</stp>
        <tr r="AX179" s="15"/>
      </tp>
      <tp>
        <v>2025705</v>
        <stp/>
        <stp>*H</stp>
        <stp>ICE</stp>
        <stp>Volume</stp>
        <stp/>
        <stp>42663.3333333333</stp>
        <tr r="AX178" s="15"/>
      </tp>
      <tp>
        <v>2230413</v>
        <stp/>
        <stp>*H</stp>
        <stp>ICE</stp>
        <stp>Volume</stp>
        <stp/>
        <stp>42678.3333333333</stp>
        <tr r="AX167" s="15"/>
      </tp>
      <tp>
        <v>4055015</v>
        <stp/>
        <stp>*H</stp>
        <stp>ICE</stp>
        <stp>Volume</stp>
        <stp/>
        <stp>42674.3333333333</stp>
        <tr r="AX171" s="15"/>
      </tp>
      <tp>
        <v>6879725</v>
        <stp/>
        <stp>*H</stp>
        <stp>ICE</stp>
        <stp>Volume</stp>
        <stp/>
        <stp>42675.3333333333</stp>
        <tr r="AX170" s="15"/>
      </tp>
      <tp>
        <v>3936775</v>
        <stp/>
        <stp>*H</stp>
        <stp>ICE</stp>
        <stp>Volume</stp>
        <stp/>
        <stp>42676.3333333333</stp>
        <tr r="AX169" s="15"/>
      </tp>
      <tp>
        <v>3707295</v>
        <stp/>
        <stp>*H</stp>
        <stp>ICE</stp>
        <stp>Volume</stp>
        <stp/>
        <stp>42677.3333333333</stp>
        <tr r="AX168" s="15"/>
      </tp>
      <tp>
        <v>2777780</v>
        <stp/>
        <stp>*H</stp>
        <stp>ICE</stp>
        <stp>Volume</stp>
        <stp/>
        <stp>42670.3333333333</stp>
        <tr r="AX173" s="15"/>
      </tp>
      <tp>
        <v>2674575</v>
        <stp/>
        <stp>*H</stp>
        <stp>ICE</stp>
        <stp>Volume</stp>
        <stp/>
        <stp>42671.3333333333</stp>
        <tr r="AX172" s="15"/>
      </tp>
      <tp>
        <v>3207710</v>
        <stp/>
        <stp>*H</stp>
        <stp>ICE</stp>
        <stp>Volume</stp>
        <stp/>
        <stp>42648.3333333333</stp>
        <tr r="AX189" s="15"/>
      </tp>
      <tp>
        <v>1793760</v>
        <stp/>
        <stp>*H</stp>
        <stp>ICE</stp>
        <stp>Volume</stp>
        <stp/>
        <stp>42649.3333333333</stp>
        <tr r="AX188" s="15"/>
      </tp>
      <tp>
        <v>4497090</v>
        <stp/>
        <stp>*H</stp>
        <stp>ICE</stp>
        <stp>Volume</stp>
        <stp/>
        <stp>42646.3333333333</stp>
        <tr r="AX191" s="15"/>
      </tp>
      <tp>
        <v>2449245</v>
        <stp/>
        <stp>*H</stp>
        <stp>ICE</stp>
        <stp>Volume</stp>
        <stp/>
        <stp>42647.3333333333</stp>
        <tr r="AX190" s="15"/>
      </tp>
      <tp>
        <v>2403105</v>
        <stp/>
        <stp>*H</stp>
        <stp>ICE</stp>
        <stp>Volume</stp>
        <stp/>
        <stp>42640.3333333333</stp>
        <tr r="AX195" s="15"/>
      </tp>
      <tp>
        <v>3870825</v>
        <stp/>
        <stp>*H</stp>
        <stp>ICE</stp>
        <stp>Volume</stp>
        <stp/>
        <stp>42641.3333333333</stp>
        <tr r="AX194" s="15"/>
      </tp>
      <tp>
        <v>2953725</v>
        <stp/>
        <stp>*H</stp>
        <stp>ICE</stp>
        <stp>Volume</stp>
        <stp/>
        <stp>42642.3333333333</stp>
        <tr r="AX193" s="15"/>
      </tp>
      <tp>
        <v>3410605</v>
        <stp/>
        <stp>*H</stp>
        <stp>ICE</stp>
        <stp>Volume</stp>
        <stp/>
        <stp>42643.3333333333</stp>
        <tr r="AX192" s="15"/>
      </tp>
      <tp>
        <v>3266390</v>
        <stp/>
        <stp>*H</stp>
        <stp>ICE</stp>
        <stp>Volume</stp>
        <stp/>
        <stp>42654.3333333333</stp>
        <tr r="AX185" s="15"/>
      </tp>
      <tp>
        <v>2351210</v>
        <stp/>
        <stp>*H</stp>
        <stp>ICE</stp>
        <stp>Volume</stp>
        <stp/>
        <stp>42655.3333333333</stp>
        <tr r="AX184" s="15"/>
      </tp>
      <tp>
        <v>3073060</v>
        <stp/>
        <stp>*H</stp>
        <stp>ICE</stp>
        <stp>Volume</stp>
        <stp/>
        <stp>42656.3333333333</stp>
        <tr r="AX183" s="15"/>
      </tp>
      <tp>
        <v>3297085</v>
        <stp/>
        <stp>*H</stp>
        <stp>ICE</stp>
        <stp>Volume</stp>
        <stp/>
        <stp>42657.3333333333</stp>
        <tr r="AX182" s="15"/>
      </tp>
      <tp>
        <v>1694810</v>
        <stp/>
        <stp>*H</stp>
        <stp>ICE</stp>
        <stp>Volume</stp>
        <stp/>
        <stp>42650.3333333333</stp>
        <tr r="AX187" s="15"/>
      </tp>
      <tp>
        <v>2680090</v>
        <stp/>
        <stp>*H</stp>
        <stp>ICE</stp>
        <stp>Volume</stp>
        <stp/>
        <stp>42653.3333333333</stp>
        <tr r="AX186" s="15"/>
      </tp>
      <tp>
        <v>2574015</v>
        <stp/>
        <stp>*H</stp>
        <stp>ICE</stp>
        <stp>Volume</stp>
        <stp/>
        <stp>42628.3333333333</stp>
        <tr r="AX203" s="15"/>
      </tp>
      <tp>
        <v>3187130</v>
        <stp/>
        <stp>*H</stp>
        <stp>ICE</stp>
        <stp>Volume</stp>
        <stp/>
        <stp>42629.3333333333</stp>
        <tr r="AX202" s="15"/>
      </tp>
      <tp>
        <v>3092191</v>
        <stp/>
        <stp>*H</stp>
        <stp>ICE</stp>
        <stp>Volume</stp>
        <stp/>
        <stp>42793.2916666667</stp>
        <tr r="AX91" s="15"/>
      </tp>
      <tp>
        <v>4145260</v>
        <stp/>
        <stp>*H</stp>
        <stp>ICE</stp>
        <stp>Volume</stp>
        <stp/>
        <stp>42625.3333333333</stp>
        <tr r="AX206" s="15"/>
      </tp>
      <tp>
        <v>4094925</v>
        <stp/>
        <stp>*H</stp>
        <stp>ICE</stp>
        <stp>Volume</stp>
        <stp/>
        <stp>42626.3333333333</stp>
        <tr r="AX205" s="15"/>
      </tp>
      <tp>
        <v>4206200</v>
        <stp/>
        <stp>*H</stp>
        <stp>ICE</stp>
        <stp>Volume</stp>
        <stp/>
        <stp>42627.3333333333</stp>
        <tr r="AX204" s="15"/>
      </tp>
      <tp>
        <v>2026310</v>
        <stp/>
        <stp>*H</stp>
        <stp>ICE</stp>
        <stp>Volume</stp>
        <stp/>
        <stp>42790.2916666667</stp>
        <tr r="AX92" s="15"/>
      </tp>
      <tp>
        <v>2363815</v>
        <stp/>
        <stp>*H</stp>
        <stp>ICE</stp>
        <stp>Volume</stp>
        <stp/>
        <stp>42620.3333333333</stp>
        <tr r="AX209" s="15"/>
      </tp>
      <tp>
        <v>2992025</v>
        <stp/>
        <stp>*H</stp>
        <stp>ICE</stp>
        <stp>Volume</stp>
        <stp/>
        <stp>42797.2916666667</stp>
        <tr r="AX87" s="15"/>
      </tp>
      <tp>
        <v>2682860</v>
        <stp/>
        <stp>*H</stp>
        <stp>ICE</stp>
        <stp>Volume</stp>
        <stp/>
        <stp>42621.3333333333</stp>
        <tr r="AX208" s="15"/>
      </tp>
      <tp>
        <v>2981630</v>
        <stp/>
        <stp>*H</stp>
        <stp>ICE</stp>
        <stp>Volume</stp>
        <stp/>
        <stp>42796.2916666667</stp>
        <tr r="AX88" s="15"/>
      </tp>
      <tp>
        <v>4113700</v>
        <stp/>
        <stp>*H</stp>
        <stp>ICE</stp>
        <stp>Volume</stp>
        <stp/>
        <stp>42622.3333333333</stp>
        <tr r="AX207" s="15"/>
      </tp>
      <tp>
        <v>3869230</v>
        <stp/>
        <stp>*H</stp>
        <stp>ICE</stp>
        <stp>Volume</stp>
        <stp/>
        <stp>42795.2916666667</stp>
        <tr r="AX89" s="15"/>
      </tp>
      <tp>
        <v>3392352</v>
        <stp/>
        <stp>*H</stp>
        <stp>ICE</stp>
        <stp>Volume</stp>
        <stp/>
        <stp>42794.2916666667</stp>
        <tr r="AX90" s="15"/>
      </tp>
      <tp>
        <v>2973783</v>
        <stp/>
        <stp>*H</stp>
        <stp>ICE</stp>
        <stp>Volume</stp>
        <stp/>
        <stp>42789.2916666667</stp>
        <tr r="AX93" s="15"/>
      </tp>
      <tp>
        <v>2784472</v>
        <stp/>
        <stp>*H</stp>
        <stp>ICE</stp>
        <stp>Volume</stp>
        <stp/>
        <stp>42788.2916666667</stp>
        <tr r="AX94" s="15"/>
      </tp>
      <tp>
        <v>2608240</v>
        <stp/>
        <stp>*H</stp>
        <stp>ICE</stp>
        <stp>Volume</stp>
        <stp/>
        <stp>42639.3333333333</stp>
        <tr r="AX196" s="15"/>
      </tp>
      <tp>
        <v>1707070</v>
        <stp/>
        <stp>*H</stp>
        <stp>ICE</stp>
        <stp>Volume</stp>
        <stp/>
        <stp>42634.3333333333</stp>
        <tr r="AX199" s="15"/>
      </tp>
      <tp>
        <v>2962911</v>
        <stp/>
        <stp>*H</stp>
        <stp>ICE</stp>
        <stp>Volume</stp>
        <stp/>
        <stp>42783.2916666667</stp>
        <tr r="AX96" s="15"/>
      </tp>
      <tp>
        <v>1952065</v>
        <stp/>
        <stp>*H</stp>
        <stp>ICE</stp>
        <stp>Volume</stp>
        <stp/>
        <stp>42635.3333333333</stp>
        <tr r="AX198" s="15"/>
      </tp>
      <tp>
        <v>1809433</v>
        <stp/>
        <stp>*H</stp>
        <stp>ICE</stp>
        <stp>Volume</stp>
        <stp/>
        <stp>42782.2916666667</stp>
        <tr r="AX97" s="15"/>
      </tp>
      <tp>
        <v>2997735</v>
        <stp/>
        <stp>*H</stp>
        <stp>ICE</stp>
        <stp>Volume</stp>
        <stp/>
        <stp>42636.3333333333</stp>
        <tr r="AX197" s="15"/>
      </tp>
      <tp>
        <v>3397366</v>
        <stp/>
        <stp>*H</stp>
        <stp>ICE</stp>
        <stp>Volume</stp>
        <stp/>
        <stp>42781.2916666667</stp>
        <tr r="AX98" s="15"/>
      </tp>
      <tp>
        <v>2914943</v>
        <stp/>
        <stp>*H</stp>
        <stp>ICE</stp>
        <stp>Volume</stp>
        <stp/>
        <stp>42780.2916666667</stp>
        <tr r="AX99" s="15"/>
      </tp>
      <tp>
        <v>3150487</v>
        <stp/>
        <stp>*H</stp>
        <stp>ICE</stp>
        <stp>Volume</stp>
        <stp/>
        <stp>42787.2916666667</stp>
        <tr r="AX95" s="15"/>
      </tp>
      <tp>
        <v>1802960</v>
        <stp/>
        <stp>*H</stp>
        <stp>ICE</stp>
        <stp>Volume</stp>
        <stp/>
        <stp>42632.3333333333</stp>
        <tr r="AX201" s="15"/>
      </tp>
      <tp>
        <v>1459140</v>
        <stp/>
        <stp>*H</stp>
        <stp>ICE</stp>
        <stp>Volume</stp>
        <stp/>
        <stp>42633.3333333333</stp>
        <tr r="AX200" s="15"/>
      </tp>
      <tp>
        <v>1678040</v>
        <stp/>
        <stp>*H</stp>
        <stp>ICE</stp>
        <stp>Volume</stp>
        <stp/>
        <stp>42608.3333333333</stp>
        <tr r="AX216" s="15"/>
      </tp>
      <tp>
        <v>1675960</v>
        <stp/>
        <stp>*H</stp>
        <stp>ICE</stp>
        <stp>Volume</stp>
        <stp/>
        <stp>42604.3333333333</stp>
        <tr r="AX220" s="15"/>
      </tp>
      <tp>
        <v>1542150</v>
        <stp/>
        <stp>*H</stp>
        <stp>ICE</stp>
        <stp>Volume</stp>
        <stp/>
        <stp>42605.3333333333</stp>
        <tr r="AX219" s="15"/>
      </tp>
      <tp>
        <v>2213810</v>
        <stp/>
        <stp>*H</stp>
        <stp>ICE</stp>
        <stp>Volume</stp>
        <stp/>
        <stp>42606.3333333333</stp>
        <tr r="AX218" s="15"/>
      </tp>
      <tp>
        <v>1891100</v>
        <stp/>
        <stp>*H</stp>
        <stp>ICE</stp>
        <stp>Volume</stp>
        <stp/>
        <stp>42607.3333333333</stp>
        <tr r="AX217" s="15"/>
      </tp>
      <tp>
        <v>1989090</v>
        <stp/>
        <stp>*H</stp>
        <stp>ICE</stp>
        <stp>Volume</stp>
        <stp/>
        <stp>42600.3333333333</stp>
        <tr r="AX222" s="15"/>
      </tp>
      <tp>
        <v>1828335</v>
        <stp/>
        <stp>*H</stp>
        <stp>ICE</stp>
        <stp>Volume</stp>
        <stp/>
        <stp>42601.3333333333</stp>
        <tr r="AX221" s="15"/>
      </tp>
      <tp>
        <v>3947770</v>
        <stp/>
        <stp>*H</stp>
        <stp>ICE</stp>
        <stp>Volume</stp>
        <stp/>
        <stp>42619.3333333333</stp>
        <tr r="AX210" s="15"/>
      </tp>
      <tp>
        <v>3703655</v>
        <stp/>
        <stp>*H</stp>
        <stp>ICE</stp>
        <stp>Volume</stp>
        <stp/>
        <stp>42614.3333333333</stp>
        <tr r="AX212" s="15"/>
      </tp>
      <tp>
        <v>1920840</v>
        <stp/>
        <stp>*H</stp>
        <stp>ICE</stp>
        <stp>Volume</stp>
        <stp/>
        <stp>42615.3333333333</stp>
        <tr r="AX211" s="15"/>
      </tp>
      <tp>
        <v>2274290</v>
        <stp/>
        <stp>*H</stp>
        <stp>ICE</stp>
        <stp>Volume</stp>
        <stp/>
        <stp>42611.3333333333</stp>
        <tr r="AX215" s="15"/>
      </tp>
      <tp>
        <v>2975195</v>
        <stp/>
        <stp>*H</stp>
        <stp>ICE</stp>
        <stp>Volume</stp>
        <stp/>
        <stp>42612.3333333333</stp>
        <tr r="AX214" s="15"/>
      </tp>
      <tp>
        <v>3155815</v>
        <stp/>
        <stp>*H</stp>
        <stp>ICE</stp>
        <stp>Volume</stp>
        <stp/>
        <stp>42613.3333333333</stp>
        <tr r="AX213" s="15"/>
      </tp>
      <tp>
        <v>1701609</v>
        <stp/>
        <stp>*H</stp>
        <stp>ICE</stp>
        <stp>Volume</stp>
        <stp/>
        <stp>42759.2916666667</stp>
        <tr r="AX114" s="15"/>
      </tp>
      <tp>
        <v>1545761</v>
        <stp/>
        <stp>*H</stp>
        <stp>ICE</stp>
        <stp>Volume</stp>
        <stp/>
        <stp>42758.2916666667</stp>
        <tr r="AX115" s="15"/>
      </tp>
      <tp>
        <v>2072860</v>
        <stp/>
        <stp>*H</stp>
        <stp>ICE</stp>
        <stp>Volume</stp>
        <stp/>
        <stp>42753.2916666667</stp>
        <tr r="AX118" s="15"/>
      </tp>
      <tp>
        <v>1998509</v>
        <stp/>
        <stp>*H</stp>
        <stp>ICE</stp>
        <stp>Volume</stp>
        <stp/>
        <stp>42752.2916666667</stp>
        <tr r="AX119" s="15"/>
      </tp>
      <tp>
        <v>2001840</v>
        <stp/>
        <stp>*H</stp>
        <stp>ICE</stp>
        <stp>Volume</stp>
        <stp/>
        <stp>42755.2916666667</stp>
        <tr r="AX116" s="15"/>
      </tp>
      <tp>
        <v>1887362</v>
        <stp/>
        <stp>*H</stp>
        <stp>ICE</stp>
        <stp>Volume</stp>
        <stp/>
        <stp>42754.2916666667</stp>
        <tr r="AX117" s="15"/>
      </tp>
      <tp>
        <v>1963286</v>
        <stp/>
        <stp>*H</stp>
        <stp>ICE</stp>
        <stp>Volume</stp>
        <stp/>
        <stp>42748.2916666667</stp>
        <tr r="AX120" s="15"/>
      </tp>
      <tp>
        <v>1490113</v>
        <stp/>
        <stp>*H</stp>
        <stp>ICE</stp>
        <stp>Volume</stp>
        <stp/>
        <stp>42741.2916666667</stp>
        <tr r="AX125" s="15"/>
      </tp>
      <tp>
        <v>1636823</v>
        <stp/>
        <stp>*H</stp>
        <stp>ICE</stp>
        <stp>Volume</stp>
        <stp/>
        <stp>42740.2916666667</stp>
        <tr r="AX126" s="15"/>
      </tp>
      <tp>
        <v>4289626</v>
        <stp/>
        <stp>*H</stp>
        <stp>ICE</stp>
        <stp>Volume</stp>
        <stp/>
        <stp>42747.2916666667</stp>
        <tr r="AX121" s="15"/>
      </tp>
      <tp>
        <v>3852066</v>
        <stp/>
        <stp>*H</stp>
        <stp>ICE</stp>
        <stp>Volume</stp>
        <stp/>
        <stp>42746.2916666667</stp>
        <tr r="AX122" s="15"/>
      </tp>
      <tp>
        <v>1647109</v>
        <stp/>
        <stp>*H</stp>
        <stp>ICE</stp>
        <stp>Volume</stp>
        <stp/>
        <stp>42745.2916666667</stp>
        <tr r="AX123" s="15"/>
      </tp>
      <tp>
        <v>1472093</v>
        <stp/>
        <stp>*H</stp>
        <stp>ICE</stp>
        <stp>Volume</stp>
        <stp/>
        <stp>42744.2916666667</stp>
        <tr r="AX124" s="15"/>
      </tp>
      <tp>
        <v>2558596</v>
        <stp/>
        <stp>*H</stp>
        <stp>ICE</stp>
        <stp>Volume</stp>
        <stp/>
        <stp>42779.2916666667</stp>
        <tr r="AX100" s="15"/>
      </tp>
      <tp>
        <v>7162773</v>
        <stp/>
        <stp>*H</stp>
        <stp>ICE</stp>
        <stp>Volume</stp>
        <stp/>
        <stp>42773.2916666667</stp>
        <tr r="AX104" s="15"/>
      </tp>
      <tp>
        <v>2879846</v>
        <stp/>
        <stp>*H</stp>
        <stp>ICE</stp>
        <stp>Volume</stp>
        <stp/>
        <stp>42772.2916666667</stp>
        <tr r="AX105" s="15"/>
      </tp>
      <tp>
        <v>2975157</v>
        <stp/>
        <stp>*H</stp>
        <stp>ICE</stp>
        <stp>Volume</stp>
        <stp/>
        <stp>42776.2916666667</stp>
        <tr r="AX101" s="15"/>
      </tp>
      <tp>
        <v>3657180</v>
        <stp/>
        <stp>*H</stp>
        <stp>ICE</stp>
        <stp>Volume</stp>
        <stp/>
        <stp>42775.2916666667</stp>
        <tr r="AX102" s="15"/>
      </tp>
      <tp>
        <v>5603496</v>
        <stp/>
        <stp>*H</stp>
        <stp>ICE</stp>
        <stp>Volume</stp>
        <stp/>
        <stp>42774.2916666667</stp>
        <tr r="AX103" s="15"/>
      </tp>
      <tp>
        <v>3092586</v>
        <stp/>
        <stp>*H</stp>
        <stp>ICE</stp>
        <stp>Volume</stp>
        <stp/>
        <stp>42769.2916666667</stp>
        <tr r="AX106" s="15"/>
      </tp>
      <tp>
        <v>3733279</v>
        <stp/>
        <stp>*H</stp>
        <stp>ICE</stp>
        <stp>Volume</stp>
        <stp/>
        <stp>42768.2916666667</stp>
        <tr r="AX107" s="15"/>
      </tp>
      <tp>
        <v>1309195</v>
        <stp/>
        <stp>*H</stp>
        <stp>ICE</stp>
        <stp>Volume</stp>
        <stp/>
        <stp>42762.2916666667</stp>
        <tr r="AX111" s="15"/>
      </tp>
      <tp>
        <v>1927582</v>
        <stp/>
        <stp>*H</stp>
        <stp>ICE</stp>
        <stp>Volume</stp>
        <stp/>
        <stp>42761.2916666667</stp>
        <tr r="AX112" s="15"/>
      </tp>
      <tp>
        <v>2531883</v>
        <stp/>
        <stp>*H</stp>
        <stp>ICE</stp>
        <stp>Volume</stp>
        <stp/>
        <stp>42760.2916666667</stp>
        <tr r="AX113" s="15"/>
      </tp>
      <tp>
        <v>2952113</v>
        <stp/>
        <stp>*H</stp>
        <stp>ICE</stp>
        <stp>Volume</stp>
        <stp/>
        <stp>42767.2916666667</stp>
        <tr r="AX108" s="15"/>
      </tp>
      <tp>
        <v>2458370</v>
        <stp/>
        <stp>*H</stp>
        <stp>ICE</stp>
        <stp>Volume</stp>
        <stp/>
        <stp>42766.2916666667</stp>
        <tr r="AX109" s="15"/>
      </tp>
      <tp>
        <v>1309474</v>
        <stp/>
        <stp>*H</stp>
        <stp>ICE</stp>
        <stp>Volume</stp>
        <stp/>
        <stp>42765.2916666667</stp>
        <tr r="AX110" s="15"/>
      </tp>
      <tp>
        <v>3688645</v>
        <stp/>
        <stp>*H</stp>
        <stp>ICE</stp>
        <stp>Volume</stp>
        <stp/>
        <stp>42719.2916666667</stp>
        <tr r="AX139" s="15"/>
      </tp>
      <tp>
        <v>4929257</v>
        <stp/>
        <stp>*H</stp>
        <stp>ICE</stp>
        <stp>Volume</stp>
        <stp/>
        <stp>42718.2916666667</stp>
        <tr r="AX140" s="15"/>
      </tp>
      <tp>
        <v>2170533</v>
        <stp/>
        <stp>*H</stp>
        <stp>ICE</stp>
        <stp>Volume</stp>
        <stp/>
        <stp>42713.2916666667</stp>
        <tr r="AX143" s="15"/>
      </tp>
      <tp>
        <v>3234279</v>
        <stp/>
        <stp>*H</stp>
        <stp>ICE</stp>
        <stp>Volume</stp>
        <stp/>
        <stp>42712.2916666667</stp>
        <tr r="AX144" s="15"/>
      </tp>
      <tp>
        <v>4086555</v>
        <stp/>
        <stp>*H</stp>
        <stp>ICE</stp>
        <stp>Volume</stp>
        <stp/>
        <stp>42711.2916666667</stp>
        <tr r="AX145" s="15"/>
      </tp>
      <tp>
        <v>3809107</v>
        <stp/>
        <stp>*H</stp>
        <stp>ICE</stp>
        <stp>Volume</stp>
        <stp/>
        <stp>42710.2916666667</stp>
        <tr r="AX146" s="15"/>
      </tp>
      <tp>
        <v>1970952</v>
        <stp/>
        <stp>*H</stp>
        <stp>ICE</stp>
        <stp>Volume</stp>
        <stp/>
        <stp>42717.2916666667</stp>
        <tr r="AX141" s="15"/>
      </tp>
      <tp>
        <v>3461209</v>
        <stp/>
        <stp>*H</stp>
        <stp>ICE</stp>
        <stp>Volume</stp>
        <stp/>
        <stp>42716.2916666667</stp>
        <tr r="AX142" s="15"/>
      </tp>
      <tp>
        <v>4219627</v>
        <stp/>
        <stp>*H</stp>
        <stp>ICE</stp>
        <stp>Volume</stp>
        <stp/>
        <stp>42709.2916666667</stp>
        <tr r="AX147" s="15"/>
      </tp>
      <tp>
        <v>3023153</v>
        <stp/>
        <stp>*H</stp>
        <stp>ICE</stp>
        <stp>Volume</stp>
        <stp/>
        <stp>42703.2916666667</stp>
        <tr r="AX151" s="15"/>
      </tp>
      <tp>
        <v>2151256</v>
        <stp/>
        <stp>*H</stp>
        <stp>ICE</stp>
        <stp>Volume</stp>
        <stp/>
        <stp>42702.2916666667</stp>
        <tr r="AX152" s="15"/>
      </tp>
      <tp>
        <v>3148203</v>
        <stp/>
        <stp>*H</stp>
        <stp>ICE</stp>
        <stp>Volume</stp>
        <stp/>
        <stp>42706.2916666667</stp>
        <tr r="AX148" s="15"/>
      </tp>
      <tp>
        <v>4136041</v>
        <stp/>
        <stp>*H</stp>
        <stp>ICE</stp>
        <stp>Volume</stp>
        <stp/>
        <stp>42705.2916666667</stp>
        <tr r="AX149" s="15"/>
      </tp>
      <tp>
        <v>5473641</v>
        <stp/>
        <stp>*H</stp>
        <stp>ICE</stp>
        <stp>Volume</stp>
        <stp/>
        <stp>42704.2916666667</stp>
        <tr r="AX150" s="15"/>
      </tp>
      <tp>
        <v>3074938</v>
        <stp/>
        <stp>*H</stp>
        <stp>ICE</stp>
        <stp>Volume</stp>
        <stp/>
        <stp>42739.2916666667</stp>
        <tr r="AX127" s="15"/>
      </tp>
      <tp>
        <v>2595463</v>
        <stp/>
        <stp>*H</stp>
        <stp>ICE</stp>
        <stp>Volume</stp>
        <stp/>
        <stp>42738.2916666667</stp>
        <tr r="AX128" s="15"/>
      </tp>
      <tp>
        <v>1156580</v>
        <stp/>
        <stp>*H</stp>
        <stp>ICE</stp>
        <stp>Volume</stp>
        <stp/>
        <stp>42733.2916666667</stp>
        <tr r="AX130" s="15"/>
      </tp>
      <tp>
        <v>1375456</v>
        <stp/>
        <stp>*H</stp>
        <stp>ICE</stp>
        <stp>Volume</stp>
        <stp/>
        <stp>42732.2916666667</stp>
        <tr r="AX131" s="15"/>
      </tp>
      <tp>
        <v>1092987</v>
        <stp/>
        <stp>*H</stp>
        <stp>ICE</stp>
        <stp>Volume</stp>
        <stp/>
        <stp>42731.2916666667</stp>
        <tr r="AX132" s="15"/>
      </tp>
      <tp>
        <v>1844386</v>
        <stp/>
        <stp>*H</stp>
        <stp>ICE</stp>
        <stp>Volume</stp>
        <stp/>
        <stp>42734.2916666667</stp>
        <tr r="AX129" s="15"/>
      </tp>
      <tp>
        <v>2667354</v>
        <stp/>
        <stp>*H</stp>
        <stp>ICE</stp>
        <stp>Volume</stp>
        <stp/>
        <stp>42723.2916666667</stp>
        <tr r="AX137" s="15"/>
      </tp>
      <tp>
        <v>4929146</v>
        <stp/>
        <stp>*H</stp>
        <stp>ICE</stp>
        <stp>Volume</stp>
        <stp/>
        <stp>42720.2916666667</stp>
        <tr r="AX138" s="15"/>
      </tp>
      <tp>
        <v>1830897</v>
        <stp/>
        <stp>*H</stp>
        <stp>ICE</stp>
        <stp>Volume</stp>
        <stp/>
        <stp>42727.2916666667</stp>
        <tr r="AX133" s="15"/>
      </tp>
      <tp>
        <v>1682319</v>
        <stp/>
        <stp>*H</stp>
        <stp>ICE</stp>
        <stp>Volume</stp>
        <stp/>
        <stp>42726.2916666667</stp>
        <tr r="AX134" s="15"/>
      </tp>
      <tp>
        <v>1759955</v>
        <stp/>
        <stp>*H</stp>
        <stp>ICE</stp>
        <stp>Volume</stp>
        <stp/>
        <stp>42725.2916666667</stp>
        <tr r="AX135" s="15"/>
      </tp>
      <tp>
        <v>2291374</v>
        <stp/>
        <stp>*H</stp>
        <stp>ICE</stp>
        <stp>Volume</stp>
        <stp/>
        <stp>42724.2916666667</stp>
        <tr r="AX136" s="15"/>
      </tp>
      <tp>
        <v>1.52</v>
        <stp/>
        <stp>ICE</stp>
        <stp>Annual Dividend</stp>
        <tr r="H19" s="15"/>
        <tr r="N31" s="15"/>
      </tp>
      <tp>
        <v>4802</v>
        <stp/>
        <stp>ICE</stp>
        <stp>EBITDA</stp>
        <tr r="N33" s="15"/>
      </tp>
      <tp t="s">
        <v/>
        <stp/>
        <stp>ICE</stp>
        <stp>QkRatio</stp>
        <tr r="N38" s="15"/>
      </tp>
      <tp>
        <v>42481.333333333336</v>
        <stp/>
        <stp>*HT</stp>
        <stp>ICE</stp>
        <stp>D[tl:Union]</stp>
        <stp>300;6/27/2017</stp>
        <stp>1</stp>
        <tr r="AV305" s="15"/>
      </tp>
      <tp>
        <v>42480.333333333336</v>
        <stp/>
        <stp>*HT</stp>
        <stp>ICE</stp>
        <stp>D[tl:Union]</stp>
        <stp>300;6/27/2017</stp>
        <stp>0</stp>
        <tr r="AV306" s="15"/>
      </tp>
      <tp>
        <v>42485.333333333336</v>
        <stp/>
        <stp>*HT</stp>
        <stp>ICE</stp>
        <stp>D[tl:Union]</stp>
        <stp>300;6/27/2017</stp>
        <stp>3</stp>
        <tr r="AV303" s="15"/>
      </tp>
      <tp>
        <v>42482.333333333336</v>
        <stp/>
        <stp>*HT</stp>
        <stp>ICE</stp>
        <stp>D[tl:Union]</stp>
        <stp>300;6/27/2017</stp>
        <stp>2</stp>
        <tr r="AV304" s="15"/>
      </tp>
      <tp>
        <v>42487.333333333336</v>
        <stp/>
        <stp>*HT</stp>
        <stp>ICE</stp>
        <stp>D[tl:Union]</stp>
        <stp>300;6/27/2017</stp>
        <stp>5</stp>
        <tr r="AV301" s="15"/>
      </tp>
      <tp>
        <v>42486.333333333336</v>
        <stp/>
        <stp>*HT</stp>
        <stp>ICE</stp>
        <stp>D[tl:Union]</stp>
        <stp>300;6/27/2017</stp>
        <stp>4</stp>
        <tr r="AV302" s="15"/>
      </tp>
      <tp>
        <v>42489.333333333336</v>
        <stp/>
        <stp>*HT</stp>
        <stp>ICE</stp>
        <stp>D[tl:Union]</stp>
        <stp>300;6/27/2017</stp>
        <stp>7</stp>
        <tr r="AV299" s="15"/>
      </tp>
      <tp>
        <v>42488.333333333336</v>
        <stp/>
        <stp>*HT</stp>
        <stp>ICE</stp>
        <stp>D[tl:Union]</stp>
        <stp>300;6/27/2017</stp>
        <stp>6</stp>
        <tr r="AV300" s="15"/>
      </tp>
      <tp>
        <v>42493.333333333336</v>
        <stp/>
        <stp>*HT</stp>
        <stp>ICE</stp>
        <stp>D[tl:Union]</stp>
        <stp>300;6/27/2017</stp>
        <stp>9</stp>
        <tr r="AV297" s="15"/>
      </tp>
      <tp>
        <v>42492.333333333336</v>
        <stp/>
        <stp>*HT</stp>
        <stp>ICE</stp>
        <stp>D[tl:Union]</stp>
        <stp>300;6/27/2017</stp>
        <stp>8</stp>
        <tr r="AV298" s="15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74479643532926E-2"/>
          <c:y val="4.269771302857904E-2"/>
          <c:w val="0.91261908075444054"/>
          <c:h val="0.7406222435218369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Main!$AV$7:$AV$306</c:f>
              <c:numCache>
                <c:formatCode>mm/dd/yyyy</c:formatCode>
                <c:ptCount val="300"/>
                <c:pt idx="0">
                  <c:v>42913.333333333336</c:v>
                </c:pt>
                <c:pt idx="1">
                  <c:v>42912.333333333336</c:v>
                </c:pt>
                <c:pt idx="2">
                  <c:v>42909.333333333336</c:v>
                </c:pt>
                <c:pt idx="3">
                  <c:v>42908.333333333336</c:v>
                </c:pt>
                <c:pt idx="4">
                  <c:v>42907.333333333336</c:v>
                </c:pt>
                <c:pt idx="5">
                  <c:v>42906.333333333336</c:v>
                </c:pt>
                <c:pt idx="6">
                  <c:v>42905.333333333336</c:v>
                </c:pt>
                <c:pt idx="7">
                  <c:v>42902.333333333336</c:v>
                </c:pt>
                <c:pt idx="8">
                  <c:v>42901.333333333336</c:v>
                </c:pt>
                <c:pt idx="9">
                  <c:v>42900.333333333336</c:v>
                </c:pt>
                <c:pt idx="10">
                  <c:v>42899.333333333336</c:v>
                </c:pt>
                <c:pt idx="11">
                  <c:v>42898.333333333336</c:v>
                </c:pt>
                <c:pt idx="12">
                  <c:v>42895.333333333336</c:v>
                </c:pt>
                <c:pt idx="13">
                  <c:v>42894.333333333336</c:v>
                </c:pt>
                <c:pt idx="14">
                  <c:v>42893.333333333336</c:v>
                </c:pt>
                <c:pt idx="15">
                  <c:v>42892.333333333336</c:v>
                </c:pt>
                <c:pt idx="16">
                  <c:v>42891.333333333336</c:v>
                </c:pt>
                <c:pt idx="17">
                  <c:v>42888.333333333336</c:v>
                </c:pt>
                <c:pt idx="18">
                  <c:v>42887.333333333336</c:v>
                </c:pt>
                <c:pt idx="19">
                  <c:v>42886.333333333336</c:v>
                </c:pt>
                <c:pt idx="20">
                  <c:v>42885.333333333336</c:v>
                </c:pt>
                <c:pt idx="21">
                  <c:v>42881.333333333336</c:v>
                </c:pt>
                <c:pt idx="22">
                  <c:v>42880.333333333336</c:v>
                </c:pt>
                <c:pt idx="23">
                  <c:v>42879.333333333336</c:v>
                </c:pt>
                <c:pt idx="24">
                  <c:v>42878.333333333336</c:v>
                </c:pt>
                <c:pt idx="25">
                  <c:v>42877.333333333336</c:v>
                </c:pt>
                <c:pt idx="26">
                  <c:v>42874.333333333336</c:v>
                </c:pt>
                <c:pt idx="27">
                  <c:v>42873.333333333336</c:v>
                </c:pt>
                <c:pt idx="28">
                  <c:v>42872.333333333336</c:v>
                </c:pt>
                <c:pt idx="29">
                  <c:v>42871.333333333336</c:v>
                </c:pt>
                <c:pt idx="30">
                  <c:v>42870.333333333336</c:v>
                </c:pt>
                <c:pt idx="31">
                  <c:v>42867.333333333336</c:v>
                </c:pt>
                <c:pt idx="32">
                  <c:v>42866.333333333336</c:v>
                </c:pt>
                <c:pt idx="33">
                  <c:v>42865.333333333336</c:v>
                </c:pt>
                <c:pt idx="34">
                  <c:v>42864.333333333336</c:v>
                </c:pt>
                <c:pt idx="35">
                  <c:v>42863.333333333336</c:v>
                </c:pt>
                <c:pt idx="36">
                  <c:v>42860.333333333336</c:v>
                </c:pt>
                <c:pt idx="37">
                  <c:v>42859.333333333336</c:v>
                </c:pt>
                <c:pt idx="38">
                  <c:v>42858.333333333336</c:v>
                </c:pt>
                <c:pt idx="39">
                  <c:v>42857.333333333336</c:v>
                </c:pt>
                <c:pt idx="40">
                  <c:v>42856.333333333336</c:v>
                </c:pt>
                <c:pt idx="41">
                  <c:v>42853.333333333336</c:v>
                </c:pt>
                <c:pt idx="42">
                  <c:v>42852.333333333336</c:v>
                </c:pt>
                <c:pt idx="43">
                  <c:v>42851.333333333336</c:v>
                </c:pt>
                <c:pt idx="44">
                  <c:v>42850.333333333336</c:v>
                </c:pt>
                <c:pt idx="45">
                  <c:v>42849.333333333336</c:v>
                </c:pt>
                <c:pt idx="46">
                  <c:v>42846.333333333336</c:v>
                </c:pt>
                <c:pt idx="47">
                  <c:v>42845.333333333336</c:v>
                </c:pt>
                <c:pt idx="48">
                  <c:v>42844.333333333336</c:v>
                </c:pt>
                <c:pt idx="49">
                  <c:v>42843.333333333336</c:v>
                </c:pt>
                <c:pt idx="50">
                  <c:v>42842.333333333336</c:v>
                </c:pt>
                <c:pt idx="51">
                  <c:v>42838.333333333336</c:v>
                </c:pt>
                <c:pt idx="52">
                  <c:v>42837.333333333336</c:v>
                </c:pt>
                <c:pt idx="53">
                  <c:v>42836.333333333336</c:v>
                </c:pt>
                <c:pt idx="54">
                  <c:v>42835.333333333336</c:v>
                </c:pt>
                <c:pt idx="55">
                  <c:v>42832.333333333336</c:v>
                </c:pt>
                <c:pt idx="56">
                  <c:v>42831.333333333336</c:v>
                </c:pt>
                <c:pt idx="57">
                  <c:v>42830.333333333336</c:v>
                </c:pt>
                <c:pt idx="58">
                  <c:v>42829.333333333336</c:v>
                </c:pt>
                <c:pt idx="59">
                  <c:v>42828.333333333336</c:v>
                </c:pt>
                <c:pt idx="60">
                  <c:v>42825.333333333336</c:v>
                </c:pt>
                <c:pt idx="61">
                  <c:v>42824.333333333336</c:v>
                </c:pt>
                <c:pt idx="62">
                  <c:v>42823.333333333336</c:v>
                </c:pt>
                <c:pt idx="63">
                  <c:v>42822.333333333336</c:v>
                </c:pt>
                <c:pt idx="64">
                  <c:v>42821.333333333336</c:v>
                </c:pt>
                <c:pt idx="65">
                  <c:v>42818.333333333336</c:v>
                </c:pt>
                <c:pt idx="66">
                  <c:v>42817.333333333336</c:v>
                </c:pt>
                <c:pt idx="67">
                  <c:v>42816.333333333336</c:v>
                </c:pt>
                <c:pt idx="68">
                  <c:v>42815.333333333336</c:v>
                </c:pt>
                <c:pt idx="69">
                  <c:v>42814.333333333336</c:v>
                </c:pt>
                <c:pt idx="70">
                  <c:v>42811.333333333336</c:v>
                </c:pt>
                <c:pt idx="71">
                  <c:v>42810.333333333336</c:v>
                </c:pt>
                <c:pt idx="72">
                  <c:v>42809.333333333336</c:v>
                </c:pt>
                <c:pt idx="73">
                  <c:v>42808.333333333336</c:v>
                </c:pt>
                <c:pt idx="74">
                  <c:v>42807.333333333336</c:v>
                </c:pt>
                <c:pt idx="75">
                  <c:v>42804.291666666664</c:v>
                </c:pt>
                <c:pt idx="76">
                  <c:v>42803.291666666664</c:v>
                </c:pt>
                <c:pt idx="77">
                  <c:v>42802.291666666664</c:v>
                </c:pt>
                <c:pt idx="78">
                  <c:v>42801.291666666664</c:v>
                </c:pt>
                <c:pt idx="79">
                  <c:v>42800.291666666664</c:v>
                </c:pt>
                <c:pt idx="80">
                  <c:v>42797.291666666664</c:v>
                </c:pt>
                <c:pt idx="81">
                  <c:v>42796.291666666664</c:v>
                </c:pt>
                <c:pt idx="82">
                  <c:v>42795.291666666664</c:v>
                </c:pt>
                <c:pt idx="83">
                  <c:v>42794.291666666664</c:v>
                </c:pt>
                <c:pt idx="84">
                  <c:v>42793.291666666664</c:v>
                </c:pt>
                <c:pt idx="85">
                  <c:v>42790.291666666664</c:v>
                </c:pt>
                <c:pt idx="86">
                  <c:v>42789.291666666664</c:v>
                </c:pt>
                <c:pt idx="87">
                  <c:v>42788.291666666664</c:v>
                </c:pt>
                <c:pt idx="88">
                  <c:v>42787.291666666664</c:v>
                </c:pt>
                <c:pt idx="89">
                  <c:v>42783.291666666664</c:v>
                </c:pt>
                <c:pt idx="90">
                  <c:v>42782.291666666664</c:v>
                </c:pt>
                <c:pt idx="91">
                  <c:v>42781.291666666664</c:v>
                </c:pt>
                <c:pt idx="92">
                  <c:v>42780.291666666664</c:v>
                </c:pt>
                <c:pt idx="93">
                  <c:v>42779.291666666664</c:v>
                </c:pt>
                <c:pt idx="94">
                  <c:v>42776.291666666664</c:v>
                </c:pt>
                <c:pt idx="95">
                  <c:v>42775.291666666664</c:v>
                </c:pt>
                <c:pt idx="96">
                  <c:v>42774.291666666664</c:v>
                </c:pt>
                <c:pt idx="97">
                  <c:v>42773.291666666664</c:v>
                </c:pt>
                <c:pt idx="98">
                  <c:v>42772.291666666664</c:v>
                </c:pt>
                <c:pt idx="99">
                  <c:v>42769.291666666664</c:v>
                </c:pt>
                <c:pt idx="100">
                  <c:v>42768.291666666664</c:v>
                </c:pt>
                <c:pt idx="101">
                  <c:v>42767.291666666664</c:v>
                </c:pt>
                <c:pt idx="102">
                  <c:v>42766.291666666664</c:v>
                </c:pt>
                <c:pt idx="103">
                  <c:v>42765.291666666664</c:v>
                </c:pt>
                <c:pt idx="104">
                  <c:v>42762.291666666664</c:v>
                </c:pt>
                <c:pt idx="105">
                  <c:v>42761.291666666664</c:v>
                </c:pt>
                <c:pt idx="106">
                  <c:v>42760.291666666664</c:v>
                </c:pt>
                <c:pt idx="107">
                  <c:v>42759.291666666664</c:v>
                </c:pt>
                <c:pt idx="108">
                  <c:v>42758.291666666664</c:v>
                </c:pt>
                <c:pt idx="109">
                  <c:v>42755.291666666664</c:v>
                </c:pt>
                <c:pt idx="110">
                  <c:v>42754.291666666664</c:v>
                </c:pt>
                <c:pt idx="111">
                  <c:v>42753.291666666664</c:v>
                </c:pt>
                <c:pt idx="112">
                  <c:v>42752.291666666664</c:v>
                </c:pt>
                <c:pt idx="113">
                  <c:v>42748.291666666664</c:v>
                </c:pt>
                <c:pt idx="114">
                  <c:v>42747.291666666664</c:v>
                </c:pt>
                <c:pt idx="115">
                  <c:v>42746.291666666664</c:v>
                </c:pt>
                <c:pt idx="116">
                  <c:v>42745.291666666664</c:v>
                </c:pt>
                <c:pt idx="117">
                  <c:v>42744.291666666664</c:v>
                </c:pt>
                <c:pt idx="118">
                  <c:v>42741.291666666664</c:v>
                </c:pt>
                <c:pt idx="119">
                  <c:v>42740.291666666664</c:v>
                </c:pt>
                <c:pt idx="120">
                  <c:v>42739.291666666664</c:v>
                </c:pt>
                <c:pt idx="121">
                  <c:v>42738.291666666664</c:v>
                </c:pt>
                <c:pt idx="122">
                  <c:v>42734.291666666664</c:v>
                </c:pt>
                <c:pt idx="123">
                  <c:v>42733.291666666664</c:v>
                </c:pt>
                <c:pt idx="124">
                  <c:v>42732.291666666664</c:v>
                </c:pt>
                <c:pt idx="125">
                  <c:v>42731.291666666664</c:v>
                </c:pt>
                <c:pt idx="126">
                  <c:v>42727.291666666664</c:v>
                </c:pt>
                <c:pt idx="127">
                  <c:v>42726.291666666664</c:v>
                </c:pt>
                <c:pt idx="128">
                  <c:v>42725.291666666664</c:v>
                </c:pt>
                <c:pt idx="129">
                  <c:v>42724.291666666664</c:v>
                </c:pt>
                <c:pt idx="130">
                  <c:v>42723.291666666664</c:v>
                </c:pt>
                <c:pt idx="131">
                  <c:v>42720.291666666664</c:v>
                </c:pt>
                <c:pt idx="132">
                  <c:v>42719.291666666664</c:v>
                </c:pt>
                <c:pt idx="133">
                  <c:v>42718.291666666664</c:v>
                </c:pt>
                <c:pt idx="134">
                  <c:v>42717.291666666664</c:v>
                </c:pt>
                <c:pt idx="135">
                  <c:v>42716.291666666664</c:v>
                </c:pt>
                <c:pt idx="136">
                  <c:v>42713.291666666664</c:v>
                </c:pt>
                <c:pt idx="137">
                  <c:v>42712.291666666664</c:v>
                </c:pt>
                <c:pt idx="138">
                  <c:v>42711.291666666664</c:v>
                </c:pt>
                <c:pt idx="139">
                  <c:v>42710.291666666664</c:v>
                </c:pt>
                <c:pt idx="140">
                  <c:v>42709.291666666664</c:v>
                </c:pt>
                <c:pt idx="141">
                  <c:v>42706.291666666664</c:v>
                </c:pt>
                <c:pt idx="142">
                  <c:v>42705.291666666664</c:v>
                </c:pt>
                <c:pt idx="143">
                  <c:v>42704.291666666664</c:v>
                </c:pt>
                <c:pt idx="144">
                  <c:v>42703.291666666664</c:v>
                </c:pt>
                <c:pt idx="145">
                  <c:v>42702.291666666664</c:v>
                </c:pt>
                <c:pt idx="146">
                  <c:v>42699.291666666664</c:v>
                </c:pt>
                <c:pt idx="147">
                  <c:v>42697.291666666664</c:v>
                </c:pt>
                <c:pt idx="148">
                  <c:v>42696.291666666664</c:v>
                </c:pt>
                <c:pt idx="149">
                  <c:v>42695.291666666664</c:v>
                </c:pt>
                <c:pt idx="150">
                  <c:v>42692.291666666664</c:v>
                </c:pt>
                <c:pt idx="151">
                  <c:v>42691.291666666664</c:v>
                </c:pt>
                <c:pt idx="152">
                  <c:v>42690.291666666664</c:v>
                </c:pt>
                <c:pt idx="153">
                  <c:v>42689.291666666664</c:v>
                </c:pt>
                <c:pt idx="154">
                  <c:v>42688.291666666664</c:v>
                </c:pt>
                <c:pt idx="155">
                  <c:v>42685.291666666664</c:v>
                </c:pt>
                <c:pt idx="156">
                  <c:v>42684.291666666664</c:v>
                </c:pt>
                <c:pt idx="157">
                  <c:v>42683.291666666664</c:v>
                </c:pt>
                <c:pt idx="158">
                  <c:v>42682.291666666664</c:v>
                </c:pt>
                <c:pt idx="159">
                  <c:v>42681.291666666664</c:v>
                </c:pt>
                <c:pt idx="160">
                  <c:v>42678.333333333336</c:v>
                </c:pt>
                <c:pt idx="161">
                  <c:v>42677.333333333336</c:v>
                </c:pt>
                <c:pt idx="162">
                  <c:v>42676.333333333336</c:v>
                </c:pt>
                <c:pt idx="163">
                  <c:v>42675.333333333336</c:v>
                </c:pt>
                <c:pt idx="164">
                  <c:v>42674.333333333336</c:v>
                </c:pt>
                <c:pt idx="165">
                  <c:v>42671.333333333336</c:v>
                </c:pt>
                <c:pt idx="166">
                  <c:v>42670.333333333336</c:v>
                </c:pt>
                <c:pt idx="167">
                  <c:v>42669.333333333336</c:v>
                </c:pt>
                <c:pt idx="168">
                  <c:v>42668.333333333336</c:v>
                </c:pt>
                <c:pt idx="169">
                  <c:v>42667.333333333336</c:v>
                </c:pt>
                <c:pt idx="170">
                  <c:v>42664.333333333336</c:v>
                </c:pt>
                <c:pt idx="171">
                  <c:v>42663.333333333336</c:v>
                </c:pt>
                <c:pt idx="172">
                  <c:v>42662.333333333336</c:v>
                </c:pt>
                <c:pt idx="173">
                  <c:v>42661.333333333336</c:v>
                </c:pt>
                <c:pt idx="174">
                  <c:v>42660.333333333336</c:v>
                </c:pt>
                <c:pt idx="175">
                  <c:v>42657.333333333336</c:v>
                </c:pt>
                <c:pt idx="176">
                  <c:v>42656.333333333336</c:v>
                </c:pt>
                <c:pt idx="177">
                  <c:v>42655.333333333336</c:v>
                </c:pt>
                <c:pt idx="178">
                  <c:v>42654.333333333336</c:v>
                </c:pt>
                <c:pt idx="179">
                  <c:v>42653.333333333336</c:v>
                </c:pt>
                <c:pt idx="180">
                  <c:v>42650.333333333336</c:v>
                </c:pt>
                <c:pt idx="181">
                  <c:v>42649.333333333336</c:v>
                </c:pt>
                <c:pt idx="182">
                  <c:v>42648.333333333336</c:v>
                </c:pt>
                <c:pt idx="183">
                  <c:v>42647.333333333336</c:v>
                </c:pt>
                <c:pt idx="184">
                  <c:v>42646.333333333336</c:v>
                </c:pt>
                <c:pt idx="185">
                  <c:v>42643.333333333336</c:v>
                </c:pt>
                <c:pt idx="186">
                  <c:v>42642.333333333336</c:v>
                </c:pt>
                <c:pt idx="187">
                  <c:v>42641.333333333336</c:v>
                </c:pt>
                <c:pt idx="188">
                  <c:v>42640.333333333336</c:v>
                </c:pt>
                <c:pt idx="189">
                  <c:v>42639.333333333336</c:v>
                </c:pt>
                <c:pt idx="190">
                  <c:v>42636.333333333336</c:v>
                </c:pt>
                <c:pt idx="191">
                  <c:v>42635.333333333336</c:v>
                </c:pt>
                <c:pt idx="192">
                  <c:v>42634.333333333336</c:v>
                </c:pt>
                <c:pt idx="193">
                  <c:v>42633.333333333336</c:v>
                </c:pt>
                <c:pt idx="194">
                  <c:v>42632.333333333336</c:v>
                </c:pt>
                <c:pt idx="195">
                  <c:v>42629.333333333336</c:v>
                </c:pt>
                <c:pt idx="196">
                  <c:v>42628.333333333336</c:v>
                </c:pt>
                <c:pt idx="197">
                  <c:v>42627.333333333336</c:v>
                </c:pt>
                <c:pt idx="198">
                  <c:v>42626.333333333336</c:v>
                </c:pt>
                <c:pt idx="199">
                  <c:v>42625.333333333336</c:v>
                </c:pt>
                <c:pt idx="200">
                  <c:v>42622.333333333336</c:v>
                </c:pt>
                <c:pt idx="201">
                  <c:v>42621.333333333336</c:v>
                </c:pt>
                <c:pt idx="202">
                  <c:v>42620.333333333336</c:v>
                </c:pt>
                <c:pt idx="203">
                  <c:v>42619.333333333336</c:v>
                </c:pt>
                <c:pt idx="204">
                  <c:v>42615.333333333336</c:v>
                </c:pt>
                <c:pt idx="205">
                  <c:v>42614.333333333336</c:v>
                </c:pt>
                <c:pt idx="206">
                  <c:v>42613.333333333336</c:v>
                </c:pt>
                <c:pt idx="207">
                  <c:v>42612.333333333336</c:v>
                </c:pt>
                <c:pt idx="208">
                  <c:v>42611.333333333336</c:v>
                </c:pt>
                <c:pt idx="209">
                  <c:v>42608.333333333336</c:v>
                </c:pt>
                <c:pt idx="210">
                  <c:v>42607.333333333336</c:v>
                </c:pt>
                <c:pt idx="211">
                  <c:v>42606.333333333336</c:v>
                </c:pt>
                <c:pt idx="212">
                  <c:v>42605.333333333336</c:v>
                </c:pt>
                <c:pt idx="213">
                  <c:v>42604.333333333336</c:v>
                </c:pt>
                <c:pt idx="214">
                  <c:v>42601.333333333336</c:v>
                </c:pt>
                <c:pt idx="215">
                  <c:v>42600.333333333336</c:v>
                </c:pt>
                <c:pt idx="216">
                  <c:v>42599.333333333336</c:v>
                </c:pt>
                <c:pt idx="217">
                  <c:v>42598.333333333336</c:v>
                </c:pt>
                <c:pt idx="218">
                  <c:v>42597.333333333336</c:v>
                </c:pt>
                <c:pt idx="219">
                  <c:v>42594.333333333336</c:v>
                </c:pt>
                <c:pt idx="220">
                  <c:v>42593.333333333336</c:v>
                </c:pt>
                <c:pt idx="221">
                  <c:v>42592.333333333336</c:v>
                </c:pt>
                <c:pt idx="222">
                  <c:v>42591.333333333336</c:v>
                </c:pt>
                <c:pt idx="223">
                  <c:v>42590.333333333336</c:v>
                </c:pt>
                <c:pt idx="224">
                  <c:v>42587.333333333336</c:v>
                </c:pt>
                <c:pt idx="225">
                  <c:v>42586.333333333336</c:v>
                </c:pt>
                <c:pt idx="226">
                  <c:v>42585.333333333336</c:v>
                </c:pt>
                <c:pt idx="227">
                  <c:v>42584.333333333336</c:v>
                </c:pt>
                <c:pt idx="228">
                  <c:v>42583.333333333336</c:v>
                </c:pt>
                <c:pt idx="229">
                  <c:v>42580.333333333336</c:v>
                </c:pt>
                <c:pt idx="230">
                  <c:v>42579.333333333336</c:v>
                </c:pt>
                <c:pt idx="231">
                  <c:v>42578.333333333336</c:v>
                </c:pt>
                <c:pt idx="232">
                  <c:v>42577.333333333336</c:v>
                </c:pt>
                <c:pt idx="233">
                  <c:v>42576.333333333336</c:v>
                </c:pt>
                <c:pt idx="234">
                  <c:v>42573.333333333336</c:v>
                </c:pt>
                <c:pt idx="235">
                  <c:v>42572.333333333336</c:v>
                </c:pt>
                <c:pt idx="236">
                  <c:v>42571.333333333336</c:v>
                </c:pt>
                <c:pt idx="237">
                  <c:v>42570.333333333336</c:v>
                </c:pt>
                <c:pt idx="238">
                  <c:v>42569.333333333336</c:v>
                </c:pt>
                <c:pt idx="239">
                  <c:v>42566.333333333336</c:v>
                </c:pt>
                <c:pt idx="240">
                  <c:v>42565.333333333336</c:v>
                </c:pt>
                <c:pt idx="241">
                  <c:v>42564.333333333336</c:v>
                </c:pt>
                <c:pt idx="242">
                  <c:v>42563.333333333336</c:v>
                </c:pt>
                <c:pt idx="243">
                  <c:v>42562.333333333336</c:v>
                </c:pt>
                <c:pt idx="244">
                  <c:v>42559.333333333336</c:v>
                </c:pt>
                <c:pt idx="245">
                  <c:v>42558.333333333336</c:v>
                </c:pt>
                <c:pt idx="246">
                  <c:v>42557.333333333336</c:v>
                </c:pt>
                <c:pt idx="247">
                  <c:v>42556.333333333336</c:v>
                </c:pt>
                <c:pt idx="248">
                  <c:v>42552.333333333336</c:v>
                </c:pt>
                <c:pt idx="249">
                  <c:v>42551.333333333336</c:v>
                </c:pt>
                <c:pt idx="250">
                  <c:v>42550.333333333336</c:v>
                </c:pt>
                <c:pt idx="251">
                  <c:v>42549.333333333336</c:v>
                </c:pt>
                <c:pt idx="252">
                  <c:v>42548.333333333336</c:v>
                </c:pt>
                <c:pt idx="253">
                  <c:v>42545.333333333336</c:v>
                </c:pt>
                <c:pt idx="254">
                  <c:v>42544.333333333336</c:v>
                </c:pt>
                <c:pt idx="255">
                  <c:v>42543.333333333336</c:v>
                </c:pt>
                <c:pt idx="256">
                  <c:v>42542.333333333336</c:v>
                </c:pt>
                <c:pt idx="257">
                  <c:v>42541.333333333336</c:v>
                </c:pt>
                <c:pt idx="258">
                  <c:v>42538.333333333336</c:v>
                </c:pt>
                <c:pt idx="259">
                  <c:v>42537.333333333336</c:v>
                </c:pt>
                <c:pt idx="260">
                  <c:v>42536.333333333336</c:v>
                </c:pt>
                <c:pt idx="261">
                  <c:v>42535.333333333336</c:v>
                </c:pt>
                <c:pt idx="262">
                  <c:v>42534.333333333336</c:v>
                </c:pt>
                <c:pt idx="263">
                  <c:v>42531.333333333336</c:v>
                </c:pt>
                <c:pt idx="264">
                  <c:v>42530.333333333336</c:v>
                </c:pt>
                <c:pt idx="265">
                  <c:v>42529.333333333336</c:v>
                </c:pt>
                <c:pt idx="266">
                  <c:v>42528.333333333336</c:v>
                </c:pt>
                <c:pt idx="267">
                  <c:v>42527.333333333336</c:v>
                </c:pt>
                <c:pt idx="268">
                  <c:v>42524.333333333336</c:v>
                </c:pt>
                <c:pt idx="269">
                  <c:v>42523.333333333336</c:v>
                </c:pt>
                <c:pt idx="270">
                  <c:v>42522.333333333336</c:v>
                </c:pt>
                <c:pt idx="271">
                  <c:v>42521.333333333336</c:v>
                </c:pt>
                <c:pt idx="272">
                  <c:v>42517.333333333336</c:v>
                </c:pt>
                <c:pt idx="273">
                  <c:v>42516.333333333336</c:v>
                </c:pt>
                <c:pt idx="274">
                  <c:v>42515.333333333336</c:v>
                </c:pt>
                <c:pt idx="275">
                  <c:v>42514.333333333336</c:v>
                </c:pt>
                <c:pt idx="276">
                  <c:v>42513.333333333336</c:v>
                </c:pt>
                <c:pt idx="277">
                  <c:v>42510.333333333336</c:v>
                </c:pt>
                <c:pt idx="278">
                  <c:v>42509.333333333336</c:v>
                </c:pt>
                <c:pt idx="279">
                  <c:v>42508.333333333336</c:v>
                </c:pt>
                <c:pt idx="280">
                  <c:v>42507.333333333336</c:v>
                </c:pt>
                <c:pt idx="281">
                  <c:v>42506.333333333336</c:v>
                </c:pt>
                <c:pt idx="282">
                  <c:v>42503.333333333336</c:v>
                </c:pt>
                <c:pt idx="283">
                  <c:v>42502.333333333336</c:v>
                </c:pt>
                <c:pt idx="284">
                  <c:v>42501.333333333336</c:v>
                </c:pt>
                <c:pt idx="285">
                  <c:v>42500.333333333336</c:v>
                </c:pt>
                <c:pt idx="286">
                  <c:v>42499.333333333336</c:v>
                </c:pt>
                <c:pt idx="287">
                  <c:v>42496.333333333336</c:v>
                </c:pt>
                <c:pt idx="288">
                  <c:v>42495.333333333336</c:v>
                </c:pt>
                <c:pt idx="289">
                  <c:v>42494.333333333336</c:v>
                </c:pt>
                <c:pt idx="290">
                  <c:v>42493.333333333336</c:v>
                </c:pt>
                <c:pt idx="291">
                  <c:v>42492.333333333336</c:v>
                </c:pt>
                <c:pt idx="292">
                  <c:v>42489.333333333336</c:v>
                </c:pt>
                <c:pt idx="293">
                  <c:v>42488.333333333336</c:v>
                </c:pt>
                <c:pt idx="294">
                  <c:v>42487.333333333336</c:v>
                </c:pt>
                <c:pt idx="295">
                  <c:v>42486.333333333336</c:v>
                </c:pt>
                <c:pt idx="296">
                  <c:v>42485.333333333336</c:v>
                </c:pt>
                <c:pt idx="297">
                  <c:v>42482.333333333336</c:v>
                </c:pt>
                <c:pt idx="298">
                  <c:v>42481.333333333336</c:v>
                </c:pt>
                <c:pt idx="299">
                  <c:v>42480.333333333336</c:v>
                </c:pt>
              </c:numCache>
            </c:numRef>
          </c:cat>
          <c:val>
            <c:numRef>
              <c:f>Main!$AW$7:$AW$306</c:f>
              <c:numCache>
                <c:formatCode>General</c:formatCode>
                <c:ptCount val="300"/>
                <c:pt idx="0">
                  <c:v>65.38</c:v>
                </c:pt>
                <c:pt idx="1">
                  <c:v>64.349999999999994</c:v>
                </c:pt>
                <c:pt idx="2">
                  <c:v>64.28</c:v>
                </c:pt>
                <c:pt idx="3">
                  <c:v>64.150000000000006</c:v>
                </c:pt>
                <c:pt idx="4">
                  <c:v>64.290000000000006</c:v>
                </c:pt>
                <c:pt idx="5">
                  <c:v>64.52</c:v>
                </c:pt>
                <c:pt idx="6">
                  <c:v>64.77</c:v>
                </c:pt>
                <c:pt idx="7">
                  <c:v>64.569999999999993</c:v>
                </c:pt>
                <c:pt idx="8">
                  <c:v>64.61</c:v>
                </c:pt>
                <c:pt idx="9">
                  <c:v>64.67</c:v>
                </c:pt>
                <c:pt idx="10">
                  <c:v>64.459999999999994</c:v>
                </c:pt>
                <c:pt idx="11">
                  <c:v>64.430000000000007</c:v>
                </c:pt>
                <c:pt idx="12">
                  <c:v>63.97</c:v>
                </c:pt>
                <c:pt idx="13">
                  <c:v>63.79</c:v>
                </c:pt>
                <c:pt idx="14">
                  <c:v>63.62</c:v>
                </c:pt>
                <c:pt idx="15">
                  <c:v>61.55</c:v>
                </c:pt>
                <c:pt idx="16">
                  <c:v>61.7</c:v>
                </c:pt>
                <c:pt idx="17">
                  <c:v>60.32</c:v>
                </c:pt>
                <c:pt idx="18">
                  <c:v>60.34</c:v>
                </c:pt>
                <c:pt idx="19">
                  <c:v>60.19</c:v>
                </c:pt>
                <c:pt idx="20">
                  <c:v>60.16</c:v>
                </c:pt>
                <c:pt idx="21">
                  <c:v>60.35</c:v>
                </c:pt>
                <c:pt idx="22">
                  <c:v>60.44</c:v>
                </c:pt>
                <c:pt idx="23">
                  <c:v>59.94</c:v>
                </c:pt>
                <c:pt idx="24">
                  <c:v>59.87</c:v>
                </c:pt>
                <c:pt idx="25">
                  <c:v>59.46</c:v>
                </c:pt>
                <c:pt idx="26">
                  <c:v>59.32</c:v>
                </c:pt>
                <c:pt idx="27">
                  <c:v>58.59</c:v>
                </c:pt>
                <c:pt idx="28">
                  <c:v>58.07</c:v>
                </c:pt>
                <c:pt idx="29">
                  <c:v>59</c:v>
                </c:pt>
                <c:pt idx="30">
                  <c:v>59.29</c:v>
                </c:pt>
                <c:pt idx="31">
                  <c:v>58.79</c:v>
                </c:pt>
                <c:pt idx="32">
                  <c:v>59.07</c:v>
                </c:pt>
                <c:pt idx="33">
                  <c:v>59</c:v>
                </c:pt>
                <c:pt idx="34">
                  <c:v>58.91</c:v>
                </c:pt>
                <c:pt idx="35">
                  <c:v>59.09</c:v>
                </c:pt>
                <c:pt idx="36">
                  <c:v>60.46</c:v>
                </c:pt>
                <c:pt idx="37">
                  <c:v>60.87</c:v>
                </c:pt>
                <c:pt idx="38">
                  <c:v>60.33</c:v>
                </c:pt>
                <c:pt idx="39">
                  <c:v>60.62</c:v>
                </c:pt>
                <c:pt idx="40">
                  <c:v>60.4</c:v>
                </c:pt>
                <c:pt idx="41">
                  <c:v>60.2</c:v>
                </c:pt>
                <c:pt idx="42">
                  <c:v>60.21</c:v>
                </c:pt>
                <c:pt idx="43">
                  <c:v>61.1</c:v>
                </c:pt>
                <c:pt idx="44">
                  <c:v>60.97</c:v>
                </c:pt>
                <c:pt idx="45">
                  <c:v>60.58</c:v>
                </c:pt>
                <c:pt idx="46">
                  <c:v>60.41</c:v>
                </c:pt>
                <c:pt idx="47">
                  <c:v>60.63</c:v>
                </c:pt>
                <c:pt idx="48">
                  <c:v>59.95</c:v>
                </c:pt>
                <c:pt idx="49">
                  <c:v>60.27</c:v>
                </c:pt>
                <c:pt idx="50">
                  <c:v>60.1</c:v>
                </c:pt>
                <c:pt idx="51">
                  <c:v>59.42</c:v>
                </c:pt>
                <c:pt idx="52">
                  <c:v>59.83</c:v>
                </c:pt>
                <c:pt idx="53">
                  <c:v>60.29</c:v>
                </c:pt>
                <c:pt idx="54">
                  <c:v>60.4</c:v>
                </c:pt>
                <c:pt idx="55">
                  <c:v>60.78</c:v>
                </c:pt>
                <c:pt idx="56">
                  <c:v>60.24</c:v>
                </c:pt>
                <c:pt idx="57">
                  <c:v>59.97</c:v>
                </c:pt>
                <c:pt idx="58">
                  <c:v>59.41</c:v>
                </c:pt>
                <c:pt idx="59">
                  <c:v>59.32</c:v>
                </c:pt>
                <c:pt idx="60">
                  <c:v>59.87</c:v>
                </c:pt>
                <c:pt idx="61">
                  <c:v>60.03</c:v>
                </c:pt>
                <c:pt idx="62">
                  <c:v>59.3</c:v>
                </c:pt>
                <c:pt idx="63">
                  <c:v>59.83</c:v>
                </c:pt>
                <c:pt idx="64">
                  <c:v>59.4</c:v>
                </c:pt>
                <c:pt idx="65">
                  <c:v>59.85</c:v>
                </c:pt>
                <c:pt idx="66">
                  <c:v>59.87</c:v>
                </c:pt>
                <c:pt idx="67">
                  <c:v>59.8</c:v>
                </c:pt>
                <c:pt idx="68">
                  <c:v>60.03</c:v>
                </c:pt>
                <c:pt idx="69">
                  <c:v>61</c:v>
                </c:pt>
                <c:pt idx="70">
                  <c:v>61.4</c:v>
                </c:pt>
                <c:pt idx="71">
                  <c:v>61.55</c:v>
                </c:pt>
                <c:pt idx="72">
                  <c:v>60.4</c:v>
                </c:pt>
                <c:pt idx="73">
                  <c:v>60.21</c:v>
                </c:pt>
                <c:pt idx="74">
                  <c:v>60.4</c:v>
                </c:pt>
                <c:pt idx="75">
                  <c:v>60.26</c:v>
                </c:pt>
                <c:pt idx="76">
                  <c:v>60.06</c:v>
                </c:pt>
                <c:pt idx="77">
                  <c:v>59.39</c:v>
                </c:pt>
                <c:pt idx="78">
                  <c:v>58.63</c:v>
                </c:pt>
                <c:pt idx="79">
                  <c:v>59.02</c:v>
                </c:pt>
                <c:pt idx="80">
                  <c:v>58.74</c:v>
                </c:pt>
                <c:pt idx="81">
                  <c:v>58.52</c:v>
                </c:pt>
                <c:pt idx="82">
                  <c:v>58.93</c:v>
                </c:pt>
                <c:pt idx="83">
                  <c:v>57.13</c:v>
                </c:pt>
                <c:pt idx="84">
                  <c:v>57.7</c:v>
                </c:pt>
                <c:pt idx="85">
                  <c:v>58.3</c:v>
                </c:pt>
                <c:pt idx="86">
                  <c:v>58.11</c:v>
                </c:pt>
                <c:pt idx="87">
                  <c:v>57.73</c:v>
                </c:pt>
                <c:pt idx="88">
                  <c:v>57.96</c:v>
                </c:pt>
                <c:pt idx="89">
                  <c:v>58.4</c:v>
                </c:pt>
                <c:pt idx="90">
                  <c:v>58.65</c:v>
                </c:pt>
                <c:pt idx="91">
                  <c:v>59.01</c:v>
                </c:pt>
                <c:pt idx="92">
                  <c:v>58.65</c:v>
                </c:pt>
                <c:pt idx="93">
                  <c:v>59.03</c:v>
                </c:pt>
                <c:pt idx="94">
                  <c:v>57.65</c:v>
                </c:pt>
                <c:pt idx="95">
                  <c:v>57.58</c:v>
                </c:pt>
                <c:pt idx="96">
                  <c:v>57.04</c:v>
                </c:pt>
                <c:pt idx="97">
                  <c:v>59.93</c:v>
                </c:pt>
                <c:pt idx="98">
                  <c:v>58.51</c:v>
                </c:pt>
                <c:pt idx="99">
                  <c:v>58.54</c:v>
                </c:pt>
                <c:pt idx="100">
                  <c:v>58.39</c:v>
                </c:pt>
                <c:pt idx="101">
                  <c:v>58.35</c:v>
                </c:pt>
                <c:pt idx="102">
                  <c:v>58.36</c:v>
                </c:pt>
                <c:pt idx="103">
                  <c:v>57.94</c:v>
                </c:pt>
                <c:pt idx="104">
                  <c:v>57.88</c:v>
                </c:pt>
                <c:pt idx="105">
                  <c:v>58.17</c:v>
                </c:pt>
                <c:pt idx="106">
                  <c:v>57.96</c:v>
                </c:pt>
                <c:pt idx="107">
                  <c:v>57.46</c:v>
                </c:pt>
                <c:pt idx="108">
                  <c:v>56.84</c:v>
                </c:pt>
                <c:pt idx="109">
                  <c:v>57.4</c:v>
                </c:pt>
                <c:pt idx="110">
                  <c:v>56.96</c:v>
                </c:pt>
                <c:pt idx="111">
                  <c:v>57.31</c:v>
                </c:pt>
                <c:pt idx="112">
                  <c:v>56.46</c:v>
                </c:pt>
                <c:pt idx="113">
                  <c:v>56.83</c:v>
                </c:pt>
                <c:pt idx="114">
                  <c:v>56.72</c:v>
                </c:pt>
                <c:pt idx="115">
                  <c:v>56.84</c:v>
                </c:pt>
                <c:pt idx="116">
                  <c:v>56.77</c:v>
                </c:pt>
                <c:pt idx="117">
                  <c:v>57.02</c:v>
                </c:pt>
                <c:pt idx="118">
                  <c:v>57.34</c:v>
                </c:pt>
                <c:pt idx="119">
                  <c:v>56.97</c:v>
                </c:pt>
                <c:pt idx="120">
                  <c:v>57.21</c:v>
                </c:pt>
                <c:pt idx="121">
                  <c:v>56.22</c:v>
                </c:pt>
                <c:pt idx="122">
                  <c:v>56.42</c:v>
                </c:pt>
                <c:pt idx="123">
                  <c:v>56.49</c:v>
                </c:pt>
                <c:pt idx="124">
                  <c:v>56.65</c:v>
                </c:pt>
                <c:pt idx="125">
                  <c:v>57.28</c:v>
                </c:pt>
                <c:pt idx="126">
                  <c:v>56.82</c:v>
                </c:pt>
                <c:pt idx="127">
                  <c:v>57.28</c:v>
                </c:pt>
                <c:pt idx="128">
                  <c:v>57.33</c:v>
                </c:pt>
                <c:pt idx="129">
                  <c:v>58.07</c:v>
                </c:pt>
                <c:pt idx="130">
                  <c:v>57.66</c:v>
                </c:pt>
                <c:pt idx="131">
                  <c:v>57.92</c:v>
                </c:pt>
                <c:pt idx="132">
                  <c:v>58.33</c:v>
                </c:pt>
                <c:pt idx="133">
                  <c:v>58.37</c:v>
                </c:pt>
                <c:pt idx="134">
                  <c:v>59.41</c:v>
                </c:pt>
                <c:pt idx="135">
                  <c:v>59.59</c:v>
                </c:pt>
                <c:pt idx="136">
                  <c:v>59.66</c:v>
                </c:pt>
                <c:pt idx="137">
                  <c:v>59.46</c:v>
                </c:pt>
                <c:pt idx="138">
                  <c:v>59.08</c:v>
                </c:pt>
                <c:pt idx="139">
                  <c:v>58.56</c:v>
                </c:pt>
                <c:pt idx="140">
                  <c:v>57.79</c:v>
                </c:pt>
                <c:pt idx="141">
                  <c:v>56.65</c:v>
                </c:pt>
                <c:pt idx="142">
                  <c:v>56.35</c:v>
                </c:pt>
                <c:pt idx="143">
                  <c:v>55.4</c:v>
                </c:pt>
                <c:pt idx="144">
                  <c:v>54.84</c:v>
                </c:pt>
                <c:pt idx="145">
                  <c:v>54.08</c:v>
                </c:pt>
                <c:pt idx="146">
                  <c:v>54.69</c:v>
                </c:pt>
                <c:pt idx="147">
                  <c:v>54.33</c:v>
                </c:pt>
                <c:pt idx="148">
                  <c:v>54.41</c:v>
                </c:pt>
                <c:pt idx="149">
                  <c:v>55.18</c:v>
                </c:pt>
                <c:pt idx="150">
                  <c:v>54.82</c:v>
                </c:pt>
                <c:pt idx="151">
                  <c:v>54.9</c:v>
                </c:pt>
                <c:pt idx="152">
                  <c:v>54.45</c:v>
                </c:pt>
                <c:pt idx="153">
                  <c:v>55.5</c:v>
                </c:pt>
                <c:pt idx="154">
                  <c:v>55.59</c:v>
                </c:pt>
                <c:pt idx="155">
                  <c:v>56.25</c:v>
                </c:pt>
                <c:pt idx="156">
                  <c:v>57.3</c:v>
                </c:pt>
                <c:pt idx="157">
                  <c:v>57.34</c:v>
                </c:pt>
                <c:pt idx="158">
                  <c:v>54.62</c:v>
                </c:pt>
                <c:pt idx="159">
                  <c:v>54.43</c:v>
                </c:pt>
                <c:pt idx="160">
                  <c:v>53.37</c:v>
                </c:pt>
                <c:pt idx="161">
                  <c:v>53.893999999999998</c:v>
                </c:pt>
                <c:pt idx="162">
                  <c:v>53.043999999999997</c:v>
                </c:pt>
                <c:pt idx="163">
                  <c:v>52.61</c:v>
                </c:pt>
                <c:pt idx="164">
                  <c:v>54.078000000000003</c:v>
                </c:pt>
                <c:pt idx="165">
                  <c:v>53.566000000000003</c:v>
                </c:pt>
                <c:pt idx="166">
                  <c:v>53.222000000000001</c:v>
                </c:pt>
                <c:pt idx="167">
                  <c:v>53.264000000000003</c:v>
                </c:pt>
                <c:pt idx="168">
                  <c:v>53.387999999999998</c:v>
                </c:pt>
                <c:pt idx="169">
                  <c:v>53.308</c:v>
                </c:pt>
                <c:pt idx="170">
                  <c:v>53.265999999999998</c:v>
                </c:pt>
                <c:pt idx="171">
                  <c:v>53.006</c:v>
                </c:pt>
                <c:pt idx="172">
                  <c:v>53.411999999999999</c:v>
                </c:pt>
                <c:pt idx="173">
                  <c:v>53.53</c:v>
                </c:pt>
                <c:pt idx="174">
                  <c:v>53.177999999999997</c:v>
                </c:pt>
                <c:pt idx="175">
                  <c:v>54.258000000000003</c:v>
                </c:pt>
                <c:pt idx="176">
                  <c:v>53.311999999999998</c:v>
                </c:pt>
                <c:pt idx="177">
                  <c:v>53.466000000000001</c:v>
                </c:pt>
                <c:pt idx="178">
                  <c:v>53.07</c:v>
                </c:pt>
                <c:pt idx="179">
                  <c:v>53.68</c:v>
                </c:pt>
                <c:pt idx="180">
                  <c:v>53.462000000000003</c:v>
                </c:pt>
                <c:pt idx="181">
                  <c:v>53.543999999999997</c:v>
                </c:pt>
                <c:pt idx="182">
                  <c:v>53.661999999999999</c:v>
                </c:pt>
                <c:pt idx="183">
                  <c:v>53.552</c:v>
                </c:pt>
                <c:pt idx="184">
                  <c:v>53.533999999999999</c:v>
                </c:pt>
                <c:pt idx="185">
                  <c:v>53.872</c:v>
                </c:pt>
                <c:pt idx="186">
                  <c:v>53.68</c:v>
                </c:pt>
                <c:pt idx="187">
                  <c:v>54.192</c:v>
                </c:pt>
                <c:pt idx="188">
                  <c:v>54.706000000000003</c:v>
                </c:pt>
                <c:pt idx="189">
                  <c:v>54.808</c:v>
                </c:pt>
                <c:pt idx="190">
                  <c:v>55.222000000000001</c:v>
                </c:pt>
                <c:pt idx="191">
                  <c:v>56.143999999999998</c:v>
                </c:pt>
                <c:pt idx="192">
                  <c:v>56.451999999999998</c:v>
                </c:pt>
                <c:pt idx="193">
                  <c:v>56.042000000000002</c:v>
                </c:pt>
                <c:pt idx="194">
                  <c:v>56.45</c:v>
                </c:pt>
                <c:pt idx="195">
                  <c:v>56.3</c:v>
                </c:pt>
                <c:pt idx="196">
                  <c:v>56.344000000000001</c:v>
                </c:pt>
                <c:pt idx="197">
                  <c:v>55.96</c:v>
                </c:pt>
                <c:pt idx="198">
                  <c:v>56.33</c:v>
                </c:pt>
                <c:pt idx="199">
                  <c:v>56.997999999999998</c:v>
                </c:pt>
                <c:pt idx="200">
                  <c:v>56.45</c:v>
                </c:pt>
                <c:pt idx="201">
                  <c:v>56.506</c:v>
                </c:pt>
                <c:pt idx="202">
                  <c:v>56.73</c:v>
                </c:pt>
                <c:pt idx="203">
                  <c:v>56.972000000000001</c:v>
                </c:pt>
                <c:pt idx="204">
                  <c:v>57.073999999999998</c:v>
                </c:pt>
                <c:pt idx="205">
                  <c:v>56.87</c:v>
                </c:pt>
                <c:pt idx="206">
                  <c:v>56.404000000000003</c:v>
                </c:pt>
                <c:pt idx="207">
                  <c:v>55.991999999999997</c:v>
                </c:pt>
                <c:pt idx="208">
                  <c:v>55.712000000000003</c:v>
                </c:pt>
                <c:pt idx="209">
                  <c:v>55.536000000000001</c:v>
                </c:pt>
                <c:pt idx="210">
                  <c:v>55.436</c:v>
                </c:pt>
                <c:pt idx="211">
                  <c:v>55.427999999999997</c:v>
                </c:pt>
                <c:pt idx="212">
                  <c:v>55.776000000000003</c:v>
                </c:pt>
                <c:pt idx="213">
                  <c:v>55.898000000000003</c:v>
                </c:pt>
                <c:pt idx="214">
                  <c:v>56.066000000000003</c:v>
                </c:pt>
                <c:pt idx="215">
                  <c:v>56.271999999999998</c:v>
                </c:pt>
                <c:pt idx="216">
                  <c:v>56.304000000000002</c:v>
                </c:pt>
                <c:pt idx="217">
                  <c:v>55.622</c:v>
                </c:pt>
                <c:pt idx="218">
                  <c:v>56.003999999999998</c:v>
                </c:pt>
                <c:pt idx="219">
                  <c:v>55.728000000000002</c:v>
                </c:pt>
                <c:pt idx="220">
                  <c:v>55.72</c:v>
                </c:pt>
                <c:pt idx="221">
                  <c:v>55.366</c:v>
                </c:pt>
                <c:pt idx="222">
                  <c:v>55.393999999999998</c:v>
                </c:pt>
                <c:pt idx="223">
                  <c:v>55.36</c:v>
                </c:pt>
                <c:pt idx="224">
                  <c:v>55.613999999999997</c:v>
                </c:pt>
                <c:pt idx="225">
                  <c:v>55.667999999999999</c:v>
                </c:pt>
                <c:pt idx="226">
                  <c:v>55.603999999999999</c:v>
                </c:pt>
                <c:pt idx="227">
                  <c:v>52.786000000000001</c:v>
                </c:pt>
                <c:pt idx="228">
                  <c:v>52.926000000000002</c:v>
                </c:pt>
                <c:pt idx="229">
                  <c:v>52.84</c:v>
                </c:pt>
                <c:pt idx="230">
                  <c:v>53.052</c:v>
                </c:pt>
                <c:pt idx="231">
                  <c:v>52.808</c:v>
                </c:pt>
                <c:pt idx="232">
                  <c:v>52.42</c:v>
                </c:pt>
                <c:pt idx="233">
                  <c:v>52.682000000000002</c:v>
                </c:pt>
                <c:pt idx="234">
                  <c:v>52.634</c:v>
                </c:pt>
                <c:pt idx="235">
                  <c:v>52.488</c:v>
                </c:pt>
                <c:pt idx="236">
                  <c:v>52.54</c:v>
                </c:pt>
                <c:pt idx="237">
                  <c:v>52.834000000000003</c:v>
                </c:pt>
                <c:pt idx="238">
                  <c:v>52.582000000000001</c:v>
                </c:pt>
                <c:pt idx="239">
                  <c:v>52.61</c:v>
                </c:pt>
                <c:pt idx="240">
                  <c:v>52.508000000000003</c:v>
                </c:pt>
                <c:pt idx="241">
                  <c:v>51.915999999999997</c:v>
                </c:pt>
                <c:pt idx="242">
                  <c:v>52.095999999999997</c:v>
                </c:pt>
                <c:pt idx="243">
                  <c:v>51.588000000000001</c:v>
                </c:pt>
                <c:pt idx="244">
                  <c:v>51.378</c:v>
                </c:pt>
                <c:pt idx="245">
                  <c:v>50.792000000000002</c:v>
                </c:pt>
                <c:pt idx="246">
                  <c:v>50.975999999999999</c:v>
                </c:pt>
                <c:pt idx="247">
                  <c:v>50.973999999999997</c:v>
                </c:pt>
                <c:pt idx="248">
                  <c:v>50.548000000000002</c:v>
                </c:pt>
                <c:pt idx="249">
                  <c:v>51.192</c:v>
                </c:pt>
                <c:pt idx="250">
                  <c:v>50.552</c:v>
                </c:pt>
                <c:pt idx="251">
                  <c:v>49.665999999999997</c:v>
                </c:pt>
                <c:pt idx="252">
                  <c:v>48.442</c:v>
                </c:pt>
                <c:pt idx="253">
                  <c:v>49.28</c:v>
                </c:pt>
                <c:pt idx="254">
                  <c:v>51.21</c:v>
                </c:pt>
                <c:pt idx="255">
                  <c:v>50.4</c:v>
                </c:pt>
                <c:pt idx="256">
                  <c:v>50.192</c:v>
                </c:pt>
                <c:pt idx="257">
                  <c:v>50.44</c:v>
                </c:pt>
                <c:pt idx="258">
                  <c:v>50.731999999999999</c:v>
                </c:pt>
                <c:pt idx="259">
                  <c:v>51.311999999999998</c:v>
                </c:pt>
                <c:pt idx="260">
                  <c:v>51.305999999999997</c:v>
                </c:pt>
                <c:pt idx="261">
                  <c:v>51.603999999999999</c:v>
                </c:pt>
                <c:pt idx="262">
                  <c:v>52.112000000000002</c:v>
                </c:pt>
                <c:pt idx="263">
                  <c:v>52.258000000000003</c:v>
                </c:pt>
                <c:pt idx="264">
                  <c:v>52.503999999999998</c:v>
                </c:pt>
                <c:pt idx="265">
                  <c:v>52.963999999999999</c:v>
                </c:pt>
                <c:pt idx="266">
                  <c:v>53.058</c:v>
                </c:pt>
                <c:pt idx="267">
                  <c:v>52.9</c:v>
                </c:pt>
                <c:pt idx="268">
                  <c:v>53.101999999999997</c:v>
                </c:pt>
                <c:pt idx="269">
                  <c:v>53.448</c:v>
                </c:pt>
                <c:pt idx="270">
                  <c:v>53.816000000000003</c:v>
                </c:pt>
                <c:pt idx="271">
                  <c:v>54.223999999999997</c:v>
                </c:pt>
                <c:pt idx="272">
                  <c:v>54.042000000000002</c:v>
                </c:pt>
                <c:pt idx="273">
                  <c:v>53.6</c:v>
                </c:pt>
                <c:pt idx="274">
                  <c:v>54</c:v>
                </c:pt>
                <c:pt idx="275">
                  <c:v>54.137999999999998</c:v>
                </c:pt>
                <c:pt idx="276">
                  <c:v>52.795999999999999</c:v>
                </c:pt>
                <c:pt idx="277">
                  <c:v>52.597999999999999</c:v>
                </c:pt>
                <c:pt idx="278">
                  <c:v>52.125999999999998</c:v>
                </c:pt>
                <c:pt idx="279">
                  <c:v>52.292000000000002</c:v>
                </c:pt>
                <c:pt idx="280">
                  <c:v>51.515999999999998</c:v>
                </c:pt>
                <c:pt idx="281">
                  <c:v>52.322000000000003</c:v>
                </c:pt>
                <c:pt idx="282">
                  <c:v>51.997999999999998</c:v>
                </c:pt>
                <c:pt idx="283">
                  <c:v>52.427999999999997</c:v>
                </c:pt>
                <c:pt idx="284">
                  <c:v>51.71</c:v>
                </c:pt>
                <c:pt idx="285">
                  <c:v>52.204000000000001</c:v>
                </c:pt>
                <c:pt idx="286">
                  <c:v>52.1</c:v>
                </c:pt>
                <c:pt idx="287">
                  <c:v>51.631999999999998</c:v>
                </c:pt>
                <c:pt idx="288">
                  <c:v>50.804000000000002</c:v>
                </c:pt>
                <c:pt idx="289">
                  <c:v>51.698</c:v>
                </c:pt>
                <c:pt idx="290">
                  <c:v>48.195999999999998</c:v>
                </c:pt>
                <c:pt idx="291">
                  <c:v>48.936</c:v>
                </c:pt>
                <c:pt idx="292">
                  <c:v>48.006</c:v>
                </c:pt>
                <c:pt idx="293">
                  <c:v>48.171999999999997</c:v>
                </c:pt>
                <c:pt idx="294">
                  <c:v>48.698</c:v>
                </c:pt>
                <c:pt idx="295">
                  <c:v>48.875999999999998</c:v>
                </c:pt>
                <c:pt idx="296">
                  <c:v>48.082000000000001</c:v>
                </c:pt>
                <c:pt idx="297">
                  <c:v>48.23</c:v>
                </c:pt>
                <c:pt idx="298">
                  <c:v>48.031999999999996</c:v>
                </c:pt>
                <c:pt idx="299">
                  <c:v>48.52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5-4CA5-85A1-81E8653DD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98944"/>
        <c:axId val="36653312"/>
      </c:lineChart>
      <c:dateAx>
        <c:axId val="35698944"/>
        <c:scaling>
          <c:orientation val="minMax"/>
        </c:scaling>
        <c:delete val="0"/>
        <c:axPos val="b"/>
        <c:numFmt formatCode="mm/dd/yyyy" sourceLinked="1"/>
        <c:majorTickMark val="out"/>
        <c:minorTickMark val="none"/>
        <c:tickLblPos val="nextTo"/>
        <c:crossAx val="36653312"/>
        <c:crosses val="autoZero"/>
        <c:auto val="1"/>
        <c:lblOffset val="100"/>
        <c:baseTimeUnit val="days"/>
      </c:dateAx>
      <c:valAx>
        <c:axId val="36653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698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03351034609047E-2"/>
          <c:y val="6.7432933916690155E-2"/>
          <c:w val="0.92725796252212656"/>
          <c:h val="0.8723543313471913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Main!$AX$7:$AX$306</c:f>
              <c:numCache>
                <c:formatCode>General</c:formatCode>
                <c:ptCount val="300"/>
                <c:pt idx="0">
                  <c:v>3946390</c:v>
                </c:pt>
                <c:pt idx="1">
                  <c:v>1602753</c:v>
                </c:pt>
                <c:pt idx="2">
                  <c:v>2372721</c:v>
                </c:pt>
                <c:pt idx="3">
                  <c:v>2360665</c:v>
                </c:pt>
                <c:pt idx="4">
                  <c:v>2323856</c:v>
                </c:pt>
                <c:pt idx="5">
                  <c:v>1751130</c:v>
                </c:pt>
                <c:pt idx="6">
                  <c:v>2575121</c:v>
                </c:pt>
                <c:pt idx="7">
                  <c:v>2301383</c:v>
                </c:pt>
                <c:pt idx="8">
                  <c:v>1680497</c:v>
                </c:pt>
                <c:pt idx="9">
                  <c:v>2054930</c:v>
                </c:pt>
                <c:pt idx="10">
                  <c:v>2327089</c:v>
                </c:pt>
                <c:pt idx="11">
                  <c:v>3243315</c:v>
                </c:pt>
                <c:pt idx="12">
                  <c:v>4046918</c:v>
                </c:pt>
                <c:pt idx="13">
                  <c:v>3746112</c:v>
                </c:pt>
                <c:pt idx="14">
                  <c:v>4773891</c:v>
                </c:pt>
                <c:pt idx="15">
                  <c:v>3409331</c:v>
                </c:pt>
                <c:pt idx="16">
                  <c:v>3963879</c:v>
                </c:pt>
                <c:pt idx="17">
                  <c:v>2609657</c:v>
                </c:pt>
                <c:pt idx="18">
                  <c:v>2777923</c:v>
                </c:pt>
                <c:pt idx="19">
                  <c:v>2710483</c:v>
                </c:pt>
                <c:pt idx="20">
                  <c:v>1981261</c:v>
                </c:pt>
                <c:pt idx="21">
                  <c:v>1346223</c:v>
                </c:pt>
                <c:pt idx="22">
                  <c:v>1518529</c:v>
                </c:pt>
                <c:pt idx="23">
                  <c:v>1452392</c:v>
                </c:pt>
                <c:pt idx="24">
                  <c:v>1635826</c:v>
                </c:pt>
                <c:pt idx="25">
                  <c:v>1880829</c:v>
                </c:pt>
                <c:pt idx="26">
                  <c:v>3018823</c:v>
                </c:pt>
                <c:pt idx="27">
                  <c:v>2259015</c:v>
                </c:pt>
                <c:pt idx="28">
                  <c:v>2593445</c:v>
                </c:pt>
                <c:pt idx="29">
                  <c:v>1875049</c:v>
                </c:pt>
                <c:pt idx="30">
                  <c:v>2145251</c:v>
                </c:pt>
                <c:pt idx="31">
                  <c:v>1665541</c:v>
                </c:pt>
                <c:pt idx="32">
                  <c:v>2929063</c:v>
                </c:pt>
                <c:pt idx="33">
                  <c:v>2443271</c:v>
                </c:pt>
                <c:pt idx="34">
                  <c:v>3735485</c:v>
                </c:pt>
                <c:pt idx="35">
                  <c:v>2502356</c:v>
                </c:pt>
                <c:pt idx="36">
                  <c:v>2152778</c:v>
                </c:pt>
                <c:pt idx="37">
                  <c:v>3288441</c:v>
                </c:pt>
                <c:pt idx="38">
                  <c:v>3891859</c:v>
                </c:pt>
                <c:pt idx="39">
                  <c:v>3602655</c:v>
                </c:pt>
                <c:pt idx="40">
                  <c:v>3246615</c:v>
                </c:pt>
                <c:pt idx="41">
                  <c:v>2961129</c:v>
                </c:pt>
                <c:pt idx="42">
                  <c:v>2651836</c:v>
                </c:pt>
                <c:pt idx="43">
                  <c:v>1719192</c:v>
                </c:pt>
                <c:pt idx="44">
                  <c:v>1852563</c:v>
                </c:pt>
                <c:pt idx="45">
                  <c:v>2996070</c:v>
                </c:pt>
                <c:pt idx="46">
                  <c:v>1856852</c:v>
                </c:pt>
                <c:pt idx="47">
                  <c:v>3083887</c:v>
                </c:pt>
                <c:pt idx="48">
                  <c:v>1993288</c:v>
                </c:pt>
                <c:pt idx="49">
                  <c:v>1673530</c:v>
                </c:pt>
                <c:pt idx="50">
                  <c:v>1217043</c:v>
                </c:pt>
                <c:pt idx="51">
                  <c:v>1644556</c:v>
                </c:pt>
                <c:pt idx="52">
                  <c:v>2386463</c:v>
                </c:pt>
                <c:pt idx="53">
                  <c:v>3242017</c:v>
                </c:pt>
                <c:pt idx="54">
                  <c:v>2667200</c:v>
                </c:pt>
                <c:pt idx="55">
                  <c:v>3876495</c:v>
                </c:pt>
                <c:pt idx="56">
                  <c:v>3361025</c:v>
                </c:pt>
                <c:pt idx="57">
                  <c:v>3067275</c:v>
                </c:pt>
                <c:pt idx="58">
                  <c:v>2445652</c:v>
                </c:pt>
                <c:pt idx="59">
                  <c:v>2561247</c:v>
                </c:pt>
                <c:pt idx="60">
                  <c:v>2099490</c:v>
                </c:pt>
                <c:pt idx="61">
                  <c:v>2030398</c:v>
                </c:pt>
                <c:pt idx="62">
                  <c:v>1890686</c:v>
                </c:pt>
                <c:pt idx="63">
                  <c:v>2076526</c:v>
                </c:pt>
                <c:pt idx="64">
                  <c:v>1922738</c:v>
                </c:pt>
                <c:pt idx="65">
                  <c:v>2536089</c:v>
                </c:pt>
                <c:pt idx="66">
                  <c:v>2433474</c:v>
                </c:pt>
                <c:pt idx="67">
                  <c:v>2120709</c:v>
                </c:pt>
                <c:pt idx="68">
                  <c:v>3332353</c:v>
                </c:pt>
                <c:pt idx="69">
                  <c:v>2321124</c:v>
                </c:pt>
                <c:pt idx="70">
                  <c:v>4871186</c:v>
                </c:pt>
                <c:pt idx="71">
                  <c:v>3933178</c:v>
                </c:pt>
                <c:pt idx="72">
                  <c:v>2791394</c:v>
                </c:pt>
                <c:pt idx="73">
                  <c:v>3413762</c:v>
                </c:pt>
                <c:pt idx="74">
                  <c:v>4264014</c:v>
                </c:pt>
                <c:pt idx="75">
                  <c:v>3584536</c:v>
                </c:pt>
                <c:pt idx="76">
                  <c:v>5102383</c:v>
                </c:pt>
                <c:pt idx="77">
                  <c:v>3465894</c:v>
                </c:pt>
                <c:pt idx="78">
                  <c:v>2656096</c:v>
                </c:pt>
                <c:pt idx="79">
                  <c:v>3646305</c:v>
                </c:pt>
                <c:pt idx="80">
                  <c:v>2992025</c:v>
                </c:pt>
                <c:pt idx="81">
                  <c:v>2981630</c:v>
                </c:pt>
                <c:pt idx="82">
                  <c:v>3869230</c:v>
                </c:pt>
                <c:pt idx="83">
                  <c:v>3392352</c:v>
                </c:pt>
                <c:pt idx="84">
                  <c:v>3092191</c:v>
                </c:pt>
                <c:pt idx="85">
                  <c:v>2026310</c:v>
                </c:pt>
                <c:pt idx="86">
                  <c:v>2973783</c:v>
                </c:pt>
                <c:pt idx="87">
                  <c:v>2784472</c:v>
                </c:pt>
                <c:pt idx="88">
                  <c:v>3150487</c:v>
                </c:pt>
                <c:pt idx="89">
                  <c:v>2962911</c:v>
                </c:pt>
                <c:pt idx="90">
                  <c:v>1809433</c:v>
                </c:pt>
                <c:pt idx="91">
                  <c:v>3397366</c:v>
                </c:pt>
                <c:pt idx="92">
                  <c:v>2914943</c:v>
                </c:pt>
                <c:pt idx="93">
                  <c:v>2558596</c:v>
                </c:pt>
                <c:pt idx="94">
                  <c:v>2975157</c:v>
                </c:pt>
                <c:pt idx="95">
                  <c:v>3657180</c:v>
                </c:pt>
                <c:pt idx="96">
                  <c:v>5603496</c:v>
                </c:pt>
                <c:pt idx="97">
                  <c:v>7162773</c:v>
                </c:pt>
                <c:pt idx="98">
                  <c:v>2879846</c:v>
                </c:pt>
                <c:pt idx="99">
                  <c:v>3092586</c:v>
                </c:pt>
                <c:pt idx="100">
                  <c:v>3733279</c:v>
                </c:pt>
                <c:pt idx="101">
                  <c:v>2952113</c:v>
                </c:pt>
                <c:pt idx="102">
                  <c:v>2458370</c:v>
                </c:pt>
                <c:pt idx="103">
                  <c:v>1309474</c:v>
                </c:pt>
                <c:pt idx="104">
                  <c:v>1309195</c:v>
                </c:pt>
                <c:pt idx="105">
                  <c:v>1927582</c:v>
                </c:pt>
                <c:pt idx="106">
                  <c:v>2531883</c:v>
                </c:pt>
                <c:pt idx="107">
                  <c:v>1701609</c:v>
                </c:pt>
                <c:pt idx="108">
                  <c:v>1545761</c:v>
                </c:pt>
                <c:pt idx="109">
                  <c:v>2001840</c:v>
                </c:pt>
                <c:pt idx="110">
                  <c:v>1887362</c:v>
                </c:pt>
                <c:pt idx="111">
                  <c:v>2072860</c:v>
                </c:pt>
                <c:pt idx="112">
                  <c:v>1998509</c:v>
                </c:pt>
                <c:pt idx="113">
                  <c:v>1963286</c:v>
                </c:pt>
                <c:pt idx="114">
                  <c:v>4289626</c:v>
                </c:pt>
                <c:pt idx="115">
                  <c:v>3852066</c:v>
                </c:pt>
                <c:pt idx="116">
                  <c:v>1647109</c:v>
                </c:pt>
                <c:pt idx="117">
                  <c:v>1472093</c:v>
                </c:pt>
                <c:pt idx="118">
                  <c:v>1490113</c:v>
                </c:pt>
                <c:pt idx="119">
                  <c:v>1636823</c:v>
                </c:pt>
                <c:pt idx="120">
                  <c:v>3074938</c:v>
                </c:pt>
                <c:pt idx="121">
                  <c:v>2595463</c:v>
                </c:pt>
                <c:pt idx="122">
                  <c:v>1844386</c:v>
                </c:pt>
                <c:pt idx="123">
                  <c:v>1156580</c:v>
                </c:pt>
                <c:pt idx="124">
                  <c:v>1375456</c:v>
                </c:pt>
                <c:pt idx="125">
                  <c:v>1092987</c:v>
                </c:pt>
                <c:pt idx="126">
                  <c:v>1830897</c:v>
                </c:pt>
                <c:pt idx="127">
                  <c:v>1682319</c:v>
                </c:pt>
                <c:pt idx="128">
                  <c:v>1759955</c:v>
                </c:pt>
                <c:pt idx="129">
                  <c:v>2291374</c:v>
                </c:pt>
                <c:pt idx="130">
                  <c:v>2667354</c:v>
                </c:pt>
                <c:pt idx="131">
                  <c:v>4929146</c:v>
                </c:pt>
                <c:pt idx="132">
                  <c:v>3688645</c:v>
                </c:pt>
                <c:pt idx="133">
                  <c:v>4929257</c:v>
                </c:pt>
                <c:pt idx="134">
                  <c:v>1970952</c:v>
                </c:pt>
                <c:pt idx="135">
                  <c:v>3461209</c:v>
                </c:pt>
                <c:pt idx="136">
                  <c:v>2170533</c:v>
                </c:pt>
                <c:pt idx="137">
                  <c:v>3234279</c:v>
                </c:pt>
                <c:pt idx="138">
                  <c:v>4086555</c:v>
                </c:pt>
                <c:pt idx="139">
                  <c:v>3809107</c:v>
                </c:pt>
                <c:pt idx="140">
                  <c:v>4219627</c:v>
                </c:pt>
                <c:pt idx="141">
                  <c:v>3148203</c:v>
                </c:pt>
                <c:pt idx="142">
                  <c:v>4136041</c:v>
                </c:pt>
                <c:pt idx="143">
                  <c:v>5473641</c:v>
                </c:pt>
                <c:pt idx="144">
                  <c:v>3023153</c:v>
                </c:pt>
                <c:pt idx="145">
                  <c:v>2151256</c:v>
                </c:pt>
                <c:pt idx="146">
                  <c:v>735481</c:v>
                </c:pt>
                <c:pt idx="147">
                  <c:v>2560124</c:v>
                </c:pt>
                <c:pt idx="148">
                  <c:v>3086697</c:v>
                </c:pt>
                <c:pt idx="149">
                  <c:v>3315666</c:v>
                </c:pt>
                <c:pt idx="150">
                  <c:v>3369269</c:v>
                </c:pt>
                <c:pt idx="151">
                  <c:v>3179477</c:v>
                </c:pt>
                <c:pt idx="152">
                  <c:v>4521838</c:v>
                </c:pt>
                <c:pt idx="153">
                  <c:v>2855696</c:v>
                </c:pt>
                <c:pt idx="154">
                  <c:v>3968830</c:v>
                </c:pt>
                <c:pt idx="155">
                  <c:v>3415741</c:v>
                </c:pt>
                <c:pt idx="156">
                  <c:v>3780301</c:v>
                </c:pt>
                <c:pt idx="157">
                  <c:v>4936999</c:v>
                </c:pt>
                <c:pt idx="158">
                  <c:v>2192259</c:v>
                </c:pt>
                <c:pt idx="159">
                  <c:v>3395791</c:v>
                </c:pt>
                <c:pt idx="160">
                  <c:v>2230413</c:v>
                </c:pt>
                <c:pt idx="161">
                  <c:v>3707295</c:v>
                </c:pt>
                <c:pt idx="162">
                  <c:v>3936775</c:v>
                </c:pt>
                <c:pt idx="163">
                  <c:v>6879725</c:v>
                </c:pt>
                <c:pt idx="164">
                  <c:v>4055015</c:v>
                </c:pt>
                <c:pt idx="165">
                  <c:v>2674575</c:v>
                </c:pt>
                <c:pt idx="166">
                  <c:v>2777780</c:v>
                </c:pt>
                <c:pt idx="167">
                  <c:v>2019285</c:v>
                </c:pt>
                <c:pt idx="168">
                  <c:v>1972120</c:v>
                </c:pt>
                <c:pt idx="169">
                  <c:v>1552570</c:v>
                </c:pt>
                <c:pt idx="170">
                  <c:v>2494635</c:v>
                </c:pt>
                <c:pt idx="171">
                  <c:v>2025705</c:v>
                </c:pt>
                <c:pt idx="172">
                  <c:v>1898985</c:v>
                </c:pt>
                <c:pt idx="173">
                  <c:v>1899055</c:v>
                </c:pt>
                <c:pt idx="174">
                  <c:v>2352105</c:v>
                </c:pt>
                <c:pt idx="175">
                  <c:v>3297085</c:v>
                </c:pt>
                <c:pt idx="176">
                  <c:v>3073060</c:v>
                </c:pt>
                <c:pt idx="177">
                  <c:v>2351210</c:v>
                </c:pt>
                <c:pt idx="178">
                  <c:v>3266390</c:v>
                </c:pt>
                <c:pt idx="179">
                  <c:v>2680090</c:v>
                </c:pt>
                <c:pt idx="180">
                  <c:v>1694810</c:v>
                </c:pt>
                <c:pt idx="181">
                  <c:v>1793760</c:v>
                </c:pt>
                <c:pt idx="182">
                  <c:v>3207710</c:v>
                </c:pt>
                <c:pt idx="183">
                  <c:v>2449245</c:v>
                </c:pt>
                <c:pt idx="184">
                  <c:v>4497090</c:v>
                </c:pt>
                <c:pt idx="185">
                  <c:v>3410605</c:v>
                </c:pt>
                <c:pt idx="186">
                  <c:v>2953725</c:v>
                </c:pt>
                <c:pt idx="187">
                  <c:v>3870825</c:v>
                </c:pt>
                <c:pt idx="188">
                  <c:v>2403105</c:v>
                </c:pt>
                <c:pt idx="189">
                  <c:v>2608240</c:v>
                </c:pt>
                <c:pt idx="190">
                  <c:v>2997735</c:v>
                </c:pt>
                <c:pt idx="191">
                  <c:v>1952065</c:v>
                </c:pt>
                <c:pt idx="192">
                  <c:v>1707070</c:v>
                </c:pt>
                <c:pt idx="193">
                  <c:v>1459140</c:v>
                </c:pt>
                <c:pt idx="194">
                  <c:v>1802960</c:v>
                </c:pt>
                <c:pt idx="195">
                  <c:v>3187130</c:v>
                </c:pt>
                <c:pt idx="196">
                  <c:v>2574015</c:v>
                </c:pt>
                <c:pt idx="197">
                  <c:v>4206200</c:v>
                </c:pt>
                <c:pt idx="198">
                  <c:v>4094925</c:v>
                </c:pt>
                <c:pt idx="199">
                  <c:v>4145260</c:v>
                </c:pt>
                <c:pt idx="200">
                  <c:v>4113700</c:v>
                </c:pt>
                <c:pt idx="201">
                  <c:v>2682860</c:v>
                </c:pt>
                <c:pt idx="202">
                  <c:v>2363815</c:v>
                </c:pt>
                <c:pt idx="203">
                  <c:v>3947770</c:v>
                </c:pt>
                <c:pt idx="204">
                  <c:v>1920840</c:v>
                </c:pt>
                <c:pt idx="205">
                  <c:v>3703655</c:v>
                </c:pt>
                <c:pt idx="206">
                  <c:v>3155815</c:v>
                </c:pt>
                <c:pt idx="207">
                  <c:v>2975195</c:v>
                </c:pt>
                <c:pt idx="208">
                  <c:v>2274290</c:v>
                </c:pt>
                <c:pt idx="209">
                  <c:v>1678040</c:v>
                </c:pt>
                <c:pt idx="210">
                  <c:v>1891100</c:v>
                </c:pt>
                <c:pt idx="211">
                  <c:v>2213810</c:v>
                </c:pt>
                <c:pt idx="212">
                  <c:v>1542150</c:v>
                </c:pt>
                <c:pt idx="213">
                  <c:v>1675960</c:v>
                </c:pt>
                <c:pt idx="214">
                  <c:v>1828335</c:v>
                </c:pt>
                <c:pt idx="215">
                  <c:v>1989090</c:v>
                </c:pt>
                <c:pt idx="216">
                  <c:v>2057650</c:v>
                </c:pt>
                <c:pt idx="217">
                  <c:v>1932345</c:v>
                </c:pt>
                <c:pt idx="218">
                  <c:v>2393630</c:v>
                </c:pt>
                <c:pt idx="219">
                  <c:v>1717190</c:v>
                </c:pt>
                <c:pt idx="220">
                  <c:v>1798230</c:v>
                </c:pt>
                <c:pt idx="221">
                  <c:v>1937200</c:v>
                </c:pt>
                <c:pt idx="222">
                  <c:v>1960025</c:v>
                </c:pt>
                <c:pt idx="223">
                  <c:v>2953070</c:v>
                </c:pt>
                <c:pt idx="224">
                  <c:v>3286680</c:v>
                </c:pt>
                <c:pt idx="225">
                  <c:v>3667720</c:v>
                </c:pt>
                <c:pt idx="226">
                  <c:v>10269435</c:v>
                </c:pt>
                <c:pt idx="227">
                  <c:v>3098725</c:v>
                </c:pt>
                <c:pt idx="228">
                  <c:v>2237030</c:v>
                </c:pt>
                <c:pt idx="229">
                  <c:v>1873575</c:v>
                </c:pt>
                <c:pt idx="230">
                  <c:v>2935805</c:v>
                </c:pt>
                <c:pt idx="231">
                  <c:v>1866540</c:v>
                </c:pt>
                <c:pt idx="232">
                  <c:v>1285935</c:v>
                </c:pt>
                <c:pt idx="233">
                  <c:v>1520320</c:v>
                </c:pt>
                <c:pt idx="234">
                  <c:v>1402055</c:v>
                </c:pt>
                <c:pt idx="235">
                  <c:v>1479755</c:v>
                </c:pt>
                <c:pt idx="236">
                  <c:v>3431955</c:v>
                </c:pt>
                <c:pt idx="237">
                  <c:v>1545140</c:v>
                </c:pt>
                <c:pt idx="238">
                  <c:v>2019875</c:v>
                </c:pt>
                <c:pt idx="239">
                  <c:v>2297370</c:v>
                </c:pt>
                <c:pt idx="240">
                  <c:v>1977915</c:v>
                </c:pt>
                <c:pt idx="241">
                  <c:v>1821450</c:v>
                </c:pt>
                <c:pt idx="242">
                  <c:v>3095475</c:v>
                </c:pt>
                <c:pt idx="243">
                  <c:v>1897390</c:v>
                </c:pt>
                <c:pt idx="244">
                  <c:v>2346395</c:v>
                </c:pt>
                <c:pt idx="245">
                  <c:v>3344590</c:v>
                </c:pt>
                <c:pt idx="246">
                  <c:v>3859160</c:v>
                </c:pt>
                <c:pt idx="247">
                  <c:v>2731475</c:v>
                </c:pt>
                <c:pt idx="248">
                  <c:v>2740430</c:v>
                </c:pt>
                <c:pt idx="249">
                  <c:v>4279825</c:v>
                </c:pt>
                <c:pt idx="250">
                  <c:v>4377025</c:v>
                </c:pt>
                <c:pt idx="251">
                  <c:v>5460390</c:v>
                </c:pt>
                <c:pt idx="252">
                  <c:v>4479215</c:v>
                </c:pt>
                <c:pt idx="253">
                  <c:v>12361620</c:v>
                </c:pt>
                <c:pt idx="254">
                  <c:v>3844685</c:v>
                </c:pt>
                <c:pt idx="255">
                  <c:v>3392450</c:v>
                </c:pt>
                <c:pt idx="256">
                  <c:v>3463780</c:v>
                </c:pt>
                <c:pt idx="257">
                  <c:v>4078385</c:v>
                </c:pt>
                <c:pt idx="258">
                  <c:v>3280725</c:v>
                </c:pt>
                <c:pt idx="259">
                  <c:v>2927065</c:v>
                </c:pt>
                <c:pt idx="260">
                  <c:v>3974725</c:v>
                </c:pt>
                <c:pt idx="261">
                  <c:v>3986665</c:v>
                </c:pt>
                <c:pt idx="262">
                  <c:v>3665735</c:v>
                </c:pt>
                <c:pt idx="263">
                  <c:v>2980315</c:v>
                </c:pt>
                <c:pt idx="264">
                  <c:v>3510635</c:v>
                </c:pt>
                <c:pt idx="265">
                  <c:v>2272570</c:v>
                </c:pt>
                <c:pt idx="266">
                  <c:v>3856050</c:v>
                </c:pt>
                <c:pt idx="267">
                  <c:v>4610010</c:v>
                </c:pt>
                <c:pt idx="268">
                  <c:v>4876045</c:v>
                </c:pt>
                <c:pt idx="269">
                  <c:v>3801465</c:v>
                </c:pt>
                <c:pt idx="270">
                  <c:v>3999590</c:v>
                </c:pt>
                <c:pt idx="271">
                  <c:v>3266320</c:v>
                </c:pt>
                <c:pt idx="272">
                  <c:v>2844800</c:v>
                </c:pt>
                <c:pt idx="273">
                  <c:v>3203360</c:v>
                </c:pt>
                <c:pt idx="274">
                  <c:v>3890730</c:v>
                </c:pt>
                <c:pt idx="275">
                  <c:v>6396455</c:v>
                </c:pt>
                <c:pt idx="276">
                  <c:v>3199455</c:v>
                </c:pt>
                <c:pt idx="277">
                  <c:v>5795945</c:v>
                </c:pt>
                <c:pt idx="278">
                  <c:v>4613685</c:v>
                </c:pt>
                <c:pt idx="279">
                  <c:v>3055180</c:v>
                </c:pt>
                <c:pt idx="280">
                  <c:v>3748580</c:v>
                </c:pt>
                <c:pt idx="281">
                  <c:v>3592380</c:v>
                </c:pt>
                <c:pt idx="282">
                  <c:v>3527970</c:v>
                </c:pt>
                <c:pt idx="283">
                  <c:v>2766805</c:v>
                </c:pt>
                <c:pt idx="284">
                  <c:v>2994175</c:v>
                </c:pt>
                <c:pt idx="285">
                  <c:v>5001320</c:v>
                </c:pt>
                <c:pt idx="286">
                  <c:v>5617130</c:v>
                </c:pt>
                <c:pt idx="287">
                  <c:v>3986600</c:v>
                </c:pt>
                <c:pt idx="288">
                  <c:v>7107010</c:v>
                </c:pt>
                <c:pt idx="289">
                  <c:v>14339095</c:v>
                </c:pt>
                <c:pt idx="290">
                  <c:v>3408040</c:v>
                </c:pt>
                <c:pt idx="291">
                  <c:v>4452330</c:v>
                </c:pt>
                <c:pt idx="292">
                  <c:v>3020515</c:v>
                </c:pt>
                <c:pt idx="293">
                  <c:v>1737835</c:v>
                </c:pt>
                <c:pt idx="294">
                  <c:v>1999990</c:v>
                </c:pt>
                <c:pt idx="295">
                  <c:v>2367775</c:v>
                </c:pt>
                <c:pt idx="296">
                  <c:v>2897060</c:v>
                </c:pt>
                <c:pt idx="297">
                  <c:v>2897900</c:v>
                </c:pt>
                <c:pt idx="298">
                  <c:v>2532455</c:v>
                </c:pt>
                <c:pt idx="299">
                  <c:v>2620020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2-4C9A-9812-1EABFFCEB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66464"/>
        <c:axId val="51761152"/>
      </c:barChart>
      <c:catAx>
        <c:axId val="47966464"/>
        <c:scaling>
          <c:orientation val="minMax"/>
        </c:scaling>
        <c:delete val="1"/>
        <c:axPos val="b"/>
        <c:numFmt formatCode="mm/dd/yyyy" sourceLinked="1"/>
        <c:majorTickMark val="out"/>
        <c:minorTickMark val="none"/>
        <c:tickLblPos val="nextTo"/>
        <c:crossAx val="51761152"/>
        <c:crosses val="autoZero"/>
        <c:auto val="1"/>
        <c:lblAlgn val="ctr"/>
        <c:lblOffset val="100"/>
        <c:noMultiLvlLbl val="0"/>
      </c:catAx>
      <c:valAx>
        <c:axId val="5176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96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254000</xdr:colOff>
      <xdr:row>4</xdr:row>
      <xdr:rowOff>25400</xdr:rowOff>
    </xdr:from>
    <xdr:to>
      <xdr:col>4</xdr:col>
      <xdr:colOff>773684</xdr:colOff>
      <xdr:row>10</xdr:row>
      <xdr:rowOff>138176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0" y="838200"/>
          <a:ext cx="1472184" cy="1331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50800</xdr:rowOff>
    </xdr:from>
    <xdr:to>
      <xdr:col>3</xdr:col>
      <xdr:colOff>0</xdr:colOff>
      <xdr:row>3</xdr:row>
      <xdr:rowOff>197625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50800"/>
          <a:ext cx="698500" cy="696100"/>
        </a:xfrm>
        <a:prstGeom prst="rect">
          <a:avLst/>
        </a:prstGeom>
      </xdr:spPr>
    </xdr:pic>
    <xdr:clientData/>
  </xdr:twoCellAnchor>
  <xdr:twoCellAnchor>
    <xdr:from>
      <xdr:col>8</xdr:col>
      <xdr:colOff>104774</xdr:colOff>
      <xdr:row>0</xdr:row>
      <xdr:rowOff>42862</xdr:rowOff>
    </xdr:from>
    <xdr:to>
      <xdr:col>16</xdr:col>
      <xdr:colOff>19049</xdr:colOff>
      <xdr:row>17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104775</xdr:colOff>
      <xdr:row>17</xdr:row>
      <xdr:rowOff>147637</xdr:rowOff>
    </xdr:from>
    <xdr:to>
      <xdr:col>16</xdr:col>
      <xdr:colOff>19050</xdr:colOff>
      <xdr:row>29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ICETheme">
  <a:themeElements>
    <a:clrScheme name="ICE Color Theme">
      <a:dk1>
        <a:srgbClr val="565A5C"/>
      </a:dk1>
      <a:lt1>
        <a:srgbClr val="FFFFFF"/>
      </a:lt1>
      <a:dk2>
        <a:srgbClr val="0039A6"/>
      </a:dk2>
      <a:lt2>
        <a:srgbClr val="FFFFFF"/>
      </a:lt2>
      <a:accent1>
        <a:srgbClr val="72C7E7"/>
      </a:accent1>
      <a:accent2>
        <a:srgbClr val="0039A6"/>
      </a:accent2>
      <a:accent3>
        <a:srgbClr val="76D750"/>
      </a:accent3>
      <a:accent4>
        <a:srgbClr val="565A5C"/>
      </a:accent4>
      <a:accent5>
        <a:srgbClr val="A2A4A3"/>
      </a:accent5>
      <a:accent6>
        <a:srgbClr val="FFA02F"/>
      </a:accent6>
      <a:hlink>
        <a:srgbClr val="0039A6"/>
      </a:hlink>
      <a:folHlink>
        <a:srgbClr val="0039A6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39A6"/>
        </a:solidFill>
        <a:ln>
          <a:noFill/>
        </a:ln>
        <a:effectLst/>
      </a:spPr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>
        <a:effectLst/>
      </a:spPr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rtlCol="0">
        <a:spAutoFit/>
      </a:bodyPr>
      <a:lstStyle>
        <a:defPPr>
          <a:defRPr sz="1400" dirty="0" smtClean="0">
            <a:latin typeface="Trade Gothic LT"/>
            <a:cs typeface="Trade Gothic LT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ICETheme" id="{6D39A084-331B-314C-8A21-19E127FECF5D}" vid="{FB0E840D-F51D-2344-BF67-9A127201B9F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C13:C16"/>
  <sheetViews>
    <sheetView tabSelected="1" topLeftCell="A4" workbookViewId="0">
      <selection activeCell="A4" sqref="A4"/>
    </sheetView>
  </sheetViews>
  <sheetFormatPr defaultColWidth="10.69140625" defaultRowHeight="15.5" x14ac:dyDescent="0.35"/>
  <cols>
    <col min="1" max="16384" width="10.69140625" style="3"/>
  </cols>
  <sheetData>
    <row r="13" spans="3:3" ht="30" x14ac:dyDescent="0.6">
      <c r="C13" s="4" t="s">
        <v>5</v>
      </c>
    </row>
    <row r="15" spans="3:3" x14ac:dyDescent="0.35">
      <c r="C15" s="5" t="s">
        <v>0</v>
      </c>
    </row>
    <row r="16" spans="3:3" x14ac:dyDescent="0.35">
      <c r="C16" s="6">
        <v>42913</v>
      </c>
    </row>
  </sheetData>
  <phoneticPr fontId="6" type="noConversion"/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BL306"/>
  <sheetViews>
    <sheetView zoomScale="60" zoomScaleNormal="60" workbookViewId="0">
      <selection activeCell="X13" sqref="X13"/>
    </sheetView>
  </sheetViews>
  <sheetFormatPr defaultColWidth="7.53515625" defaultRowHeight="14" x14ac:dyDescent="0.3"/>
  <cols>
    <col min="1" max="1" width="1.3046875" style="24" customWidth="1"/>
    <col min="2" max="2" width="7.53515625" style="24"/>
    <col min="3" max="3" width="8.3046875" style="24" bestFit="1" customWidth="1"/>
    <col min="4" max="4" width="7.53515625" style="24"/>
    <col min="5" max="5" width="1.3046875" style="24" customWidth="1"/>
    <col min="6" max="6" width="7.53515625" style="1" customWidth="1"/>
    <col min="7" max="7" width="24.69140625" style="1" bestFit="1" customWidth="1"/>
    <col min="8" max="8" width="24.765625" style="1" customWidth="1"/>
    <col min="9" max="9" width="23.84375" style="1" customWidth="1"/>
    <col min="10" max="10" width="18.4609375" style="1" customWidth="1"/>
    <col min="11" max="11" width="7.53515625" style="1" customWidth="1"/>
    <col min="12" max="12" width="23.84375" style="1" customWidth="1"/>
    <col min="13" max="13" width="24" style="1" customWidth="1"/>
    <col min="14" max="24" width="7.53515625" style="1" customWidth="1"/>
    <col min="25" max="31" width="7.53515625" style="1"/>
    <col min="32" max="47" width="7.53515625" style="2"/>
    <col min="48" max="48" width="10.765625" style="2" customWidth="1"/>
    <col min="49" max="16384" width="7.53515625" style="2"/>
  </cols>
  <sheetData>
    <row r="2" spans="2:51" ht="14.5" thickBot="1" x14ac:dyDescent="0.35"/>
    <row r="3" spans="2:51" ht="14.5" thickBot="1" x14ac:dyDescent="0.35">
      <c r="G3" s="15" t="s">
        <v>6</v>
      </c>
      <c r="H3" s="23" t="s">
        <v>47</v>
      </c>
      <c r="I3" s="13"/>
      <c r="J3" s="13"/>
      <c r="K3" s="9"/>
      <c r="L3" s="13"/>
      <c r="M3" s="13"/>
      <c r="N3" s="13"/>
      <c r="O3" s="13"/>
      <c r="P3" s="9"/>
      <c r="Q3" s="13"/>
      <c r="R3" s="13"/>
      <c r="S3" s="13"/>
      <c r="T3" s="13"/>
    </row>
    <row r="4" spans="2:51" ht="16.5" customHeight="1" x14ac:dyDescent="0.3">
      <c r="I4" s="9"/>
      <c r="J4" s="9"/>
      <c r="K4" s="9"/>
      <c r="L4" s="9"/>
      <c r="M4" s="9"/>
      <c r="N4" s="9"/>
      <c r="O4" s="9"/>
      <c r="P4" s="9"/>
      <c r="Q4" s="9"/>
      <c r="R4" s="10"/>
      <c r="S4" s="10"/>
      <c r="T4" s="10"/>
      <c r="AV4" s="16" t="str">
        <f ca="1">_xll.SeriesIDC(AW4:AY4,AW5:AY5,,,TODAY(),300,"Snapshot=False","TimelineMerge=Union")</f>
        <v>Time Series</v>
      </c>
      <c r="AW4" s="28" t="str">
        <f>H3</f>
        <v>ICE</v>
      </c>
      <c r="AX4" s="28"/>
      <c r="AY4" s="28"/>
    </row>
    <row r="5" spans="2:51" x14ac:dyDescent="0.3">
      <c r="B5" s="25" t="s">
        <v>1</v>
      </c>
      <c r="C5" s="25"/>
      <c r="D5" s="25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AW5" s="2" t="s">
        <v>2</v>
      </c>
      <c r="AX5" s="2" t="s">
        <v>10</v>
      </c>
      <c r="AY5" s="2" t="s">
        <v>46</v>
      </c>
    </row>
    <row r="6" spans="2:51" ht="14.5" thickBot="1" x14ac:dyDescent="0.35">
      <c r="G6" s="29" t="s">
        <v>52</v>
      </c>
      <c r="H6" s="2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AW6" s="2" t="str">
        <f>RTD("ice.xl",,AW4,_xll.FSFldID("Description"))</f>
        <v>INTERCONTINENTAL EXCHANGE INC</v>
      </c>
    </row>
    <row r="7" spans="2:51" ht="15" customHeight="1" thickTop="1" x14ac:dyDescent="0.3">
      <c r="B7" s="26" t="s">
        <v>45</v>
      </c>
      <c r="C7" s="27"/>
      <c r="D7" s="27"/>
      <c r="G7" s="1" t="s">
        <v>35</v>
      </c>
      <c r="H7" s="18" t="str">
        <f>RTD("ice.xl",,H3,"CMPST_Industry")</f>
        <v>Financial Exchanges &amp; Data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AV7" s="17">
        <f ca="1">RTD("ice.xl",,"*HT",_xll.FSJoinRange(AW4:AY4),"D[tl:Union]","300;6/27/2017","299")</f>
        <v>42913.333333333336</v>
      </c>
      <c r="AW7" s="2">
        <f ca="1">RTD("ice.xl",,"*H",AW$4,AW$5,"",$AV7)</f>
        <v>65.38</v>
      </c>
      <c r="AX7" s="2">
        <f ca="1">RTD("ice.xl",,"*H",AW$4,AX$5,"",$AV7)</f>
        <v>3946390</v>
      </c>
      <c r="AY7" s="2" t="str">
        <f ca="1">RTD("ice.xl",,"*H",AW$4,AY$5,"",$AV7)</f>
        <v/>
      </c>
    </row>
    <row r="8" spans="2:51" x14ac:dyDescent="0.3">
      <c r="B8" s="27"/>
      <c r="C8" s="27"/>
      <c r="D8" s="27"/>
      <c r="G8" s="9" t="s">
        <v>2</v>
      </c>
      <c r="H8" s="9">
        <f>RTD("ice.xl",,$H$3,G8)</f>
        <v>109.6</v>
      </c>
      <c r="I8" s="13"/>
      <c r="J8" s="13"/>
      <c r="K8" s="9"/>
      <c r="L8" s="13"/>
      <c r="M8" s="13"/>
      <c r="N8" s="13"/>
      <c r="O8" s="13"/>
      <c r="P8" s="9"/>
      <c r="Q8" s="13"/>
      <c r="R8" s="13"/>
      <c r="S8" s="13"/>
      <c r="T8" s="13"/>
      <c r="AV8" s="17">
        <f ca="1">RTD("ice.xl",,"*HT",_xll.FSJoinRange(AW4:AY4),"D[tl:Union]","300;6/27/2017","298")</f>
        <v>42912.333333333336</v>
      </c>
      <c r="AW8" s="2">
        <f ca="1">RTD("ice.xl",,"*H",AW$4,AW$5,"",$AV8)</f>
        <v>64.349999999999994</v>
      </c>
      <c r="AX8" s="2">
        <f ca="1">RTD("ice.xl",,"*H",AW$4,AX$5,"",$AV8)</f>
        <v>1602753</v>
      </c>
      <c r="AY8" s="2" t="str">
        <f ca="1">RTD("ice.xl",,"*H",AW$4,AY$5,"",$AV8)</f>
        <v/>
      </c>
    </row>
    <row r="9" spans="2:51" x14ac:dyDescent="0.3">
      <c r="B9" s="27"/>
      <c r="C9" s="27"/>
      <c r="D9" s="27"/>
      <c r="G9" s="9" t="s">
        <v>16</v>
      </c>
      <c r="H9" s="9">
        <f>RTD("ice.xl",,$H$3,G9)</f>
        <v>-3.02</v>
      </c>
      <c r="I9" s="9"/>
      <c r="J9" s="9"/>
      <c r="K9" s="9"/>
      <c r="L9" s="9"/>
      <c r="M9" s="9"/>
      <c r="N9" s="9"/>
      <c r="O9" s="9"/>
      <c r="P9" s="9"/>
      <c r="Q9" s="9"/>
      <c r="R9" s="11"/>
      <c r="S9" s="11"/>
      <c r="T9" s="11"/>
      <c r="AV9" s="17">
        <f ca="1">RTD("ice.xl",,"*HT",_xll.FSJoinRange(AW4:AY4),"D[tl:Union]","300;6/27/2017","297")</f>
        <v>42909.333333333336</v>
      </c>
      <c r="AW9" s="2">
        <f ca="1">RTD("ice.xl",,"*H",AW$4,AW$5,"",$AV9)</f>
        <v>64.28</v>
      </c>
      <c r="AX9" s="2">
        <f ca="1">RTD("ice.xl",,"*H",AW$4,AX$5,"",$AV9)</f>
        <v>2372721</v>
      </c>
      <c r="AY9" s="2" t="str">
        <f ca="1">RTD("ice.xl",,"*H",AW$4,AY$5,"",$AV9)</f>
        <v/>
      </c>
    </row>
    <row r="10" spans="2:51" x14ac:dyDescent="0.3">
      <c r="B10" s="27"/>
      <c r="C10" s="27"/>
      <c r="D10" s="27"/>
      <c r="G10" s="13" t="s">
        <v>3</v>
      </c>
      <c r="H10" s="9">
        <f>RTD("ice.xl",,$H$3,G10)</f>
        <v>109.58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AV10" s="17">
        <f ca="1">RTD("ice.xl",,"*HT",_xll.FSJoinRange(AW4:AY4),"D[tl:Union]","300;6/27/2017","296")</f>
        <v>42908.333333333336</v>
      </c>
      <c r="AW10" s="2">
        <f ca="1">RTD("ice.xl",,"*H",AW$4,AW$5,"",$AV10)</f>
        <v>64.150000000000006</v>
      </c>
      <c r="AX10" s="2">
        <f ca="1">RTD("ice.xl",,"*H",AW$4,AX$5,"",$AV10)</f>
        <v>2360665</v>
      </c>
      <c r="AY10" s="2" t="str">
        <f ca="1">RTD("ice.xl",,"*H",AW$4,AY$5,"",$AV10)</f>
        <v/>
      </c>
    </row>
    <row r="11" spans="2:51" x14ac:dyDescent="0.3">
      <c r="B11" s="27"/>
      <c r="C11" s="27"/>
      <c r="D11" s="27"/>
      <c r="G11" s="9" t="s">
        <v>4</v>
      </c>
      <c r="H11" s="9">
        <f>RTD("ice.xl",,$H$3,G11)</f>
        <v>109.6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AV11" s="17">
        <f ca="1">RTD("ice.xl",,"*HT",_xll.FSJoinRange(AW4:AY4),"D[tl:Union]","300;6/27/2017","295")</f>
        <v>42907.333333333336</v>
      </c>
      <c r="AW11" s="2">
        <f ca="1">RTD("ice.xl",,"*H",AW$4,AW$5,"",$AV11)</f>
        <v>64.290000000000006</v>
      </c>
      <c r="AX11" s="2">
        <f ca="1">RTD("ice.xl",,"*H",AW$4,AX$5,"",$AV11)</f>
        <v>2323856</v>
      </c>
      <c r="AY11" s="2" t="str">
        <f ca="1">RTD("ice.xl",,"*H",AW$4,AY$5,"",$AV11)</f>
        <v/>
      </c>
    </row>
    <row r="12" spans="2:51" ht="15" customHeight="1" x14ac:dyDescent="0.3">
      <c r="B12" s="27"/>
      <c r="C12" s="27"/>
      <c r="D12" s="27"/>
      <c r="G12" s="9" t="s">
        <v>7</v>
      </c>
      <c r="H12" s="9">
        <f>RTD("ice.xl",,$H$3,G12)</f>
        <v>111.67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AV12" s="17">
        <f ca="1">RTD("ice.xl",,"*HT",_xll.FSJoinRange(AW4:AY4),"D[tl:Union]","300;6/27/2017","294")</f>
        <v>42906.333333333336</v>
      </c>
      <c r="AW12" s="2">
        <f ca="1">RTD("ice.xl",,"*H",AW$4,AW$5,"",$AV12)</f>
        <v>64.52</v>
      </c>
      <c r="AX12" s="2">
        <f ca="1">RTD("ice.xl",,"*H",AW$4,AX$5,"",$AV12)</f>
        <v>1751130</v>
      </c>
      <c r="AY12" s="2" t="str">
        <f ca="1">RTD("ice.xl",,"*H",AW$4,AY$5,"",$AV12)</f>
        <v/>
      </c>
    </row>
    <row r="13" spans="2:51" x14ac:dyDescent="0.3">
      <c r="B13" s="27"/>
      <c r="C13" s="27"/>
      <c r="D13" s="27"/>
      <c r="G13" s="9" t="s">
        <v>8</v>
      </c>
      <c r="H13" s="9">
        <f>RTD("ice.xl",,$H$3,G13)</f>
        <v>112.05</v>
      </c>
      <c r="I13" s="13"/>
      <c r="J13" s="13"/>
      <c r="K13" s="9"/>
      <c r="L13" s="13"/>
      <c r="M13" s="13"/>
      <c r="N13" s="13"/>
      <c r="O13" s="13"/>
      <c r="P13" s="9"/>
      <c r="Q13" s="13"/>
      <c r="R13" s="13"/>
      <c r="S13" s="13"/>
      <c r="T13" s="13"/>
      <c r="AV13" s="17">
        <f ca="1">RTD("ice.xl",,"*HT",_xll.FSJoinRange(AW4:AY4),"D[tl:Union]","300;6/27/2017","293")</f>
        <v>42905.333333333336</v>
      </c>
      <c r="AW13" s="2">
        <f ca="1">RTD("ice.xl",,"*H",AW$4,AW$5,"",$AV13)</f>
        <v>64.77</v>
      </c>
      <c r="AX13" s="2">
        <f ca="1">RTD("ice.xl",,"*H",AW$4,AX$5,"",$AV13)</f>
        <v>2575121</v>
      </c>
      <c r="AY13" s="2" t="str">
        <f ca="1">RTD("ice.xl",,"*H",AW$4,AY$5,"",$AV13)</f>
        <v/>
      </c>
    </row>
    <row r="14" spans="2:51" x14ac:dyDescent="0.3">
      <c r="B14" s="27"/>
      <c r="C14" s="27"/>
      <c r="D14" s="27"/>
      <c r="G14" s="9" t="s">
        <v>9</v>
      </c>
      <c r="H14" s="9">
        <f>RTD("ice.xl",,$H$3,G14)</f>
        <v>108.85</v>
      </c>
      <c r="I14" s="9"/>
      <c r="J14" s="9"/>
      <c r="K14" s="9"/>
      <c r="L14" s="9"/>
      <c r="M14" s="9"/>
      <c r="N14" s="9"/>
      <c r="O14" s="9"/>
      <c r="P14" s="9"/>
      <c r="Q14" s="9"/>
      <c r="R14" s="10"/>
      <c r="S14" s="10"/>
      <c r="T14" s="10"/>
      <c r="AV14" s="17">
        <f ca="1">RTD("ice.xl",,"*HT",_xll.FSJoinRange(AW4:AY4),"D[tl:Union]","300;6/27/2017","292")</f>
        <v>42902.333333333336</v>
      </c>
      <c r="AW14" s="2">
        <f ca="1">RTD("ice.xl",,"*H",AW$4,AW$5,"",$AV14)</f>
        <v>64.569999999999993</v>
      </c>
      <c r="AX14" s="2">
        <f ca="1">RTD("ice.xl",,"*H",AW$4,AX$5,"",$AV14)</f>
        <v>2301383</v>
      </c>
      <c r="AY14" s="2" t="str">
        <f ca="1">RTD("ice.xl",,"*H",AW$4,AY$5,"",$AV14)</f>
        <v/>
      </c>
    </row>
    <row r="15" spans="2:51" x14ac:dyDescent="0.3">
      <c r="B15" s="27"/>
      <c r="C15" s="27"/>
      <c r="D15" s="27"/>
      <c r="G15" s="8" t="s">
        <v>53</v>
      </c>
      <c r="H15" s="9">
        <f>RTD("ice.xl",,$H$3,"PrevPrice")</f>
        <v>112.62</v>
      </c>
      <c r="I15" s="9"/>
      <c r="J15" s="9"/>
      <c r="K15" s="9"/>
      <c r="L15" s="9"/>
      <c r="M15" s="9"/>
      <c r="N15" s="9"/>
      <c r="O15" s="9"/>
      <c r="P15" s="9"/>
      <c r="Q15" s="9"/>
      <c r="R15" s="12"/>
      <c r="S15" s="12"/>
      <c r="T15" s="12"/>
      <c r="AV15" s="17">
        <f ca="1">RTD("ice.xl",,"*HT",_xll.FSJoinRange(AW4:AY4),"D[tl:Union]","300;6/27/2017","291")</f>
        <v>42901.333333333336</v>
      </c>
      <c r="AW15" s="2">
        <f ca="1">RTD("ice.xl",,"*H",AW$4,AW$5,"",$AV15)</f>
        <v>64.61</v>
      </c>
      <c r="AX15" s="2">
        <f ca="1">RTD("ice.xl",,"*H",AW$4,AX$5,"",$AV15)</f>
        <v>1680497</v>
      </c>
      <c r="AY15" s="2" t="str">
        <f ca="1">RTD("ice.xl",,"*H",AW$4,AY$5,"",$AV15)</f>
        <v/>
      </c>
    </row>
    <row r="16" spans="2:51" x14ac:dyDescent="0.3">
      <c r="B16" s="27"/>
      <c r="C16" s="27"/>
      <c r="D16" s="27"/>
      <c r="G16" s="9" t="s">
        <v>10</v>
      </c>
      <c r="H16" s="20">
        <f>RTD("ice.xl",,$H$3,G16)</f>
        <v>1329540</v>
      </c>
      <c r="I16" s="9"/>
      <c r="J16" s="9"/>
      <c r="K16" s="9"/>
      <c r="L16" s="9"/>
      <c r="M16" s="9"/>
      <c r="N16" s="9"/>
      <c r="O16" s="9"/>
      <c r="P16" s="9"/>
      <c r="Q16" s="9"/>
      <c r="R16" s="12"/>
      <c r="S16" s="12"/>
      <c r="T16" s="12"/>
      <c r="AV16" s="17">
        <f ca="1">RTD("ice.xl",,"*HT",_xll.FSJoinRange(AW4:AY4),"D[tl:Union]","300;6/27/2017","290")</f>
        <v>42900.333333333336</v>
      </c>
      <c r="AW16" s="2">
        <f ca="1">RTD("ice.xl",,"*H",AW$4,AW$5,"",$AV16)</f>
        <v>64.67</v>
      </c>
      <c r="AX16" s="2">
        <f ca="1">RTD("ice.xl",,"*H",AW$4,AX$5,"",$AV16)</f>
        <v>2054930</v>
      </c>
      <c r="AY16" s="2" t="str">
        <f ca="1">RTD("ice.xl",,"*H",AW$4,AY$5,"",$AV16)</f>
        <v/>
      </c>
    </row>
    <row r="17" spans="2:64" ht="15" customHeight="1" thickBot="1" x14ac:dyDescent="0.35">
      <c r="B17" s="27"/>
      <c r="C17" s="27"/>
      <c r="D17" s="27"/>
      <c r="G17" s="29" t="s">
        <v>11</v>
      </c>
      <c r="H17" s="29"/>
      <c r="I17" s="9"/>
      <c r="J17" s="9"/>
      <c r="K17" s="9"/>
      <c r="L17" s="9"/>
      <c r="M17" s="9"/>
      <c r="N17" s="9"/>
      <c r="O17" s="9"/>
      <c r="P17" s="9"/>
      <c r="AV17" s="17">
        <f ca="1">RTD("ice.xl",,"*HT",_xll.FSJoinRange(AW4:AY4),"D[tl:Union]","300;6/27/2017","289")</f>
        <v>42899.333333333336</v>
      </c>
      <c r="AW17" s="2">
        <f ca="1">RTD("ice.xl",,"*H",AW$4,AW$5,"",$AV17)</f>
        <v>64.459999999999994</v>
      </c>
      <c r="AX17" s="2">
        <f ca="1">RTD("ice.xl",,"*H",AW$4,AX$5,"",$AV17)</f>
        <v>2327089</v>
      </c>
      <c r="AY17" s="2" t="str">
        <f ca="1">RTD("ice.xl",,"*H",AW$4,AY$5,"",$AV17)</f>
        <v/>
      </c>
    </row>
    <row r="18" spans="2:64" ht="14.5" thickTop="1" x14ac:dyDescent="0.3">
      <c r="B18" s="27"/>
      <c r="C18" s="27"/>
      <c r="D18" s="27"/>
      <c r="G18" s="9" t="s">
        <v>11</v>
      </c>
      <c r="H18" s="9">
        <f>RTD("ice.xl",,H3,"Dividend")</f>
        <v>0.38</v>
      </c>
      <c r="I18" s="13"/>
      <c r="J18" s="13"/>
      <c r="K18" s="9"/>
      <c r="L18" s="13"/>
      <c r="M18" s="13"/>
      <c r="N18" s="13"/>
      <c r="O18" s="13"/>
      <c r="P18" s="9"/>
      <c r="Q18" s="13"/>
      <c r="R18" s="13"/>
      <c r="S18" s="13"/>
      <c r="T18" s="13"/>
      <c r="AV18" s="17">
        <f ca="1">RTD("ice.xl",,"*HT",_xll.FSJoinRange(AW4:AY4),"D[tl:Union]","300;6/27/2017","288")</f>
        <v>42898.333333333336</v>
      </c>
      <c r="AW18" s="2">
        <f ca="1">RTD("ice.xl",,"*H",AW$4,AW$5,"",$AV18)</f>
        <v>64.430000000000007</v>
      </c>
      <c r="AX18" s="2">
        <f ca="1">RTD("ice.xl",,"*H",AW$4,AX$5,"",$AV18)</f>
        <v>3243315</v>
      </c>
      <c r="AY18" s="2" t="str">
        <f ca="1">RTD("ice.xl",,"*H",AW$4,AY$5,"",$AV18)</f>
        <v/>
      </c>
    </row>
    <row r="19" spans="2:64" x14ac:dyDescent="0.3">
      <c r="B19" s="27"/>
      <c r="C19" s="27"/>
      <c r="D19" s="27"/>
      <c r="G19" s="9" t="s">
        <v>12</v>
      </c>
      <c r="H19" s="9">
        <f>RTD("ice.xl",,H3,"Annual Dividend")</f>
        <v>1.52</v>
      </c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AV19" s="17">
        <f ca="1">RTD("ice.xl",,"*HT",_xll.FSJoinRange(AW4:AY4),"D[tl:Union]","300;6/27/2017","287")</f>
        <v>42895.333333333336</v>
      </c>
      <c r="AW19" s="2">
        <f ca="1">RTD("ice.xl",,"*H",AW$4,AW$5,"",$AV19)</f>
        <v>63.97</v>
      </c>
      <c r="AX19" s="2">
        <f ca="1">RTD("ice.xl",,"*H",AW$4,AX$5,"",$AV19)</f>
        <v>4046918</v>
      </c>
      <c r="AY19" s="2" t="str">
        <f ca="1">RTD("ice.xl",,"*H",AW$4,AY$5,"",$AV19)</f>
        <v/>
      </c>
    </row>
    <row r="20" spans="2:64" x14ac:dyDescent="0.3">
      <c r="B20" s="27"/>
      <c r="C20" s="27"/>
      <c r="D20" s="27"/>
      <c r="G20" s="13" t="s">
        <v>13</v>
      </c>
      <c r="H20" s="9" t="str">
        <f>RTD("ice.xl",,H3,"DivInterval")</f>
        <v>Field DIVINTERVAL not found</v>
      </c>
      <c r="I20" s="9"/>
      <c r="J20" s="9"/>
      <c r="K20" s="9"/>
      <c r="L20" s="9"/>
      <c r="M20" s="9"/>
      <c r="N20" s="9"/>
      <c r="O20" s="9"/>
      <c r="P20" s="9"/>
      <c r="Q20" s="9"/>
      <c r="R20" s="12"/>
      <c r="S20" s="12"/>
      <c r="T20" s="12"/>
      <c r="AV20" s="17">
        <f ca="1">RTD("ice.xl",,"*HT",_xll.FSJoinRange(AW4:AY4),"D[tl:Union]","300;6/27/2017","286")</f>
        <v>42894.333333333336</v>
      </c>
      <c r="AW20" s="2">
        <f ca="1">RTD("ice.xl",,"*H",AW$4,AW$5,"",$AV20)</f>
        <v>63.79</v>
      </c>
      <c r="AX20" s="2">
        <f ca="1">RTD("ice.xl",,"*H",AW$4,AX$5,"",$AV20)</f>
        <v>3746112</v>
      </c>
      <c r="AY20" s="2" t="str">
        <f ca="1">RTD("ice.xl",,"*H",AW$4,AY$5,"",$AV20)</f>
        <v/>
      </c>
    </row>
    <row r="21" spans="2:64" x14ac:dyDescent="0.3">
      <c r="B21" s="27"/>
      <c r="C21" s="27"/>
      <c r="D21" s="27"/>
      <c r="G21" s="9" t="s">
        <v>14</v>
      </c>
      <c r="H21" s="21">
        <f>RTD("ice.xl",,H3,"Dividend Yield")/100</f>
        <v>1.3868609999999998E-2</v>
      </c>
      <c r="I21" s="9"/>
      <c r="J21" s="9"/>
      <c r="K21" s="9"/>
      <c r="L21" s="9"/>
      <c r="M21" s="9"/>
      <c r="N21" s="9"/>
      <c r="O21" s="9"/>
      <c r="P21" s="9"/>
      <c r="Q21" s="9"/>
      <c r="R21" s="12"/>
      <c r="S21" s="12"/>
      <c r="T21" s="12"/>
      <c r="AV21" s="17">
        <f ca="1">RTD("ice.xl",,"*HT",_xll.FSJoinRange(AW4:AY4),"D[tl:Union]","300;6/27/2017","285")</f>
        <v>42893.333333333336</v>
      </c>
      <c r="AW21" s="2">
        <f ca="1">RTD("ice.xl",,"*H",AW$4,AW$5,"",$AV21)</f>
        <v>63.62</v>
      </c>
      <c r="AX21" s="2">
        <f ca="1">RTD("ice.xl",,"*H",AW$4,AX$5,"",$AV21)</f>
        <v>4773891</v>
      </c>
      <c r="AY21" s="2" t="str">
        <f ca="1">RTD("ice.xl",,"*H",AW$4,AY$5,"",$AV21)</f>
        <v/>
      </c>
    </row>
    <row r="22" spans="2:64" x14ac:dyDescent="0.3">
      <c r="B22" s="27"/>
      <c r="C22" s="27"/>
      <c r="D22" s="27"/>
      <c r="G22" s="9" t="s">
        <v>15</v>
      </c>
      <c r="H22" s="14">
        <f>RTD("ice.xl",,H3,"XDivDate")</f>
        <v>44819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AV22" s="17">
        <f ca="1">RTD("ice.xl",,"*HT",_xll.FSJoinRange(AW4:AY4),"D[tl:Union]","300;6/27/2017","284")</f>
        <v>42892.333333333336</v>
      </c>
      <c r="AW22" s="2">
        <f ca="1">RTD("ice.xl",,"*H",AW$4,AW$5,"",$AV22)</f>
        <v>61.55</v>
      </c>
      <c r="AX22" s="2">
        <f ca="1">RTD("ice.xl",,"*H",AW$4,AX$5,"",$AV22)</f>
        <v>3409331</v>
      </c>
      <c r="AY22" s="2" t="str">
        <f ca="1">RTD("ice.xl",,"*H",AW$4,AY$5,"",$AV22)</f>
        <v/>
      </c>
    </row>
    <row r="23" spans="2:64" ht="15.75" customHeight="1" thickBot="1" x14ac:dyDescent="0.35">
      <c r="G23" s="29" t="s">
        <v>54</v>
      </c>
      <c r="H23" s="2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AV23" s="17">
        <f ca="1">RTD("ice.xl",,"*HT",_xll.FSJoinRange(AW4:AY4),"D[tl:Union]","300;6/27/2017","283")</f>
        <v>42891.333333333336</v>
      </c>
      <c r="AW23" s="2">
        <f ca="1">RTD("ice.xl",,"*H",AW$4,AW$5,"",$AV23)</f>
        <v>61.7</v>
      </c>
      <c r="AX23" s="2">
        <f ca="1">RTD("ice.xl",,"*H",AW$4,AX$5,"",$AV23)</f>
        <v>3963879</v>
      </c>
      <c r="AY23" s="2" t="str">
        <f ca="1">RTD("ice.xl",,"*H",AW$4,AY$5,"",$AV23)</f>
        <v/>
      </c>
    </row>
    <row r="24" spans="2:64" ht="14.5" thickTop="1" x14ac:dyDescent="0.3">
      <c r="G24" s="9" t="s">
        <v>58</v>
      </c>
      <c r="H24" s="12">
        <f>RTD("ice.xl",,$H$3,"PE")</f>
        <v>18.244772999999999</v>
      </c>
      <c r="AV24" s="17">
        <f ca="1">RTD("ice.xl",,"*HT",_xll.FSJoinRange(AW4:AY4),"D[tl:Union]","300;6/27/2017","282")</f>
        <v>42888.333333333336</v>
      </c>
      <c r="AW24" s="2">
        <f ca="1">RTD("ice.xl",,"*H",AW$4,AW$5,"",$AV24)</f>
        <v>60.32</v>
      </c>
      <c r="AX24" s="2">
        <f ca="1">RTD("ice.xl",,"*H",AW$4,AX$5,"",$AV24)</f>
        <v>2609657</v>
      </c>
      <c r="AY24" s="2" t="str">
        <f ca="1">RTD("ice.xl",,"*H",AW$4,AY$5,"",$AV24)</f>
        <v/>
      </c>
    </row>
    <row r="25" spans="2:64" x14ac:dyDescent="0.3">
      <c r="G25" s="1" t="s">
        <v>32</v>
      </c>
      <c r="H25" s="7">
        <f>RTD("ice.xl",,H3,"Forward P/E Current Fiscal Year")</f>
        <v>21.021280999999998</v>
      </c>
      <c r="AV25" s="17">
        <f ca="1">RTD("ice.xl",,"*HT",_xll.FSJoinRange(AW4:AY4),"D[tl:Union]","300;6/27/2017","281")</f>
        <v>42887.333333333336</v>
      </c>
      <c r="AW25" s="2">
        <f ca="1">RTD("ice.xl",,"*H",AW$4,AW$5,"",$AV25)</f>
        <v>60.34</v>
      </c>
      <c r="AX25" s="2">
        <f ca="1">RTD("ice.xl",,"*H",AW$4,AX$5,"",$AV25)</f>
        <v>2777923</v>
      </c>
      <c r="AY25" s="2" t="str">
        <f ca="1">RTD("ice.xl",,"*H",AW$4,AY$5,"",$AV25)</f>
        <v/>
      </c>
    </row>
    <row r="26" spans="2:64" x14ac:dyDescent="0.3">
      <c r="G26" s="1" t="s">
        <v>33</v>
      </c>
      <c r="H26" s="7">
        <f>RTD("ice.xl",,H3,"Forward P/E Next Fiscal Year")</f>
        <v>19.699808000000001</v>
      </c>
      <c r="AV26" s="17">
        <f ca="1">RTD("ice.xl",,"*HT",_xll.FSJoinRange(AW4:AY4),"D[tl:Union]","300;6/27/2017","280")</f>
        <v>42886.333333333336</v>
      </c>
      <c r="AW26" s="2">
        <f ca="1">RTD("ice.xl",,"*H",AW$4,AW$5,"",$AV26)</f>
        <v>60.19</v>
      </c>
      <c r="AX26" s="2">
        <f ca="1">RTD("ice.xl",,"*H",AW$4,AX$5,"",$AV26)</f>
        <v>2710483</v>
      </c>
      <c r="AY26" s="2" t="str">
        <f ca="1">RTD("ice.xl",,"*H",AW$4,AY$5,"",$AV26)</f>
        <v/>
      </c>
    </row>
    <row r="27" spans="2:64" x14ac:dyDescent="0.3">
      <c r="G27" s="1" t="s">
        <v>34</v>
      </c>
      <c r="H27" s="7">
        <f>RTD("ice.xl",,H3,"Forward P/E Next Two Fiscal Year")</f>
        <v>17.943539000000001</v>
      </c>
      <c r="AV27" s="17">
        <f ca="1">RTD("ice.xl",,"*HT",_xll.FSJoinRange(AW4:AY4),"D[tl:Union]","300;6/27/2017","279")</f>
        <v>42885.333333333336</v>
      </c>
      <c r="AW27" s="2">
        <f ca="1">RTD("ice.xl",,"*H",AW$4,AW$5,"",$AV27)</f>
        <v>60.16</v>
      </c>
      <c r="AX27" s="2">
        <f ca="1">RTD("ice.xl",,"*H",AW$4,AX$5,"",$AV27)</f>
        <v>1981261</v>
      </c>
      <c r="AY27" s="2" t="str">
        <f ca="1">RTD("ice.xl",,"*H",AW$4,AY$5,"",$AV27)</f>
        <v/>
      </c>
    </row>
    <row r="28" spans="2:64" x14ac:dyDescent="0.3">
      <c r="G28" s="8" t="s">
        <v>59</v>
      </c>
      <c r="H28" s="1">
        <f>RTD("ice.xl",,H3,"EPS")</f>
        <v>6.0072000000000001</v>
      </c>
      <c r="AV28" s="17">
        <f ca="1">RTD("ice.xl",,"*HT",_xll.FSJoinRange(AW4:AY4),"D[tl:Union]","300;6/27/2017","278")</f>
        <v>42881.333333333336</v>
      </c>
      <c r="AW28" s="2">
        <f ca="1">RTD("ice.xl",,"*H",AW$4,AW$5,"",$AV28)</f>
        <v>60.35</v>
      </c>
      <c r="AX28" s="2">
        <f ca="1">RTD("ice.xl",,"*H",AW$4,AX$5,"",$AV28)</f>
        <v>1346223</v>
      </c>
      <c r="AY28" s="2" t="str">
        <f ca="1">RTD("ice.xl",,"*H",AW$4,AY$5,"",$AV28)</f>
        <v/>
      </c>
    </row>
    <row r="29" spans="2:64" ht="15" customHeight="1" x14ac:dyDescent="0.3">
      <c r="G29" s="1" t="s">
        <v>26</v>
      </c>
      <c r="H29" s="7">
        <f>RTD("ice.xl",,H3,"EPSCFy")</f>
        <v>5.3574279999999996</v>
      </c>
      <c r="AV29" s="17">
        <f ca="1">RTD("ice.xl",,"*HT",_xll.FSJoinRange(AW4:AY4),"D[tl:Union]","300;6/27/2017","277")</f>
        <v>42880.333333333336</v>
      </c>
      <c r="AW29" s="2">
        <f ca="1">RTD("ice.xl",,"*H",AW$4,AW$5,"",$AV29)</f>
        <v>60.44</v>
      </c>
      <c r="AX29" s="2">
        <f ca="1">RTD("ice.xl",,"*H",AW$4,AX$5,"",$AV29)</f>
        <v>1518529</v>
      </c>
      <c r="AY29" s="2" t="str">
        <f ca="1">RTD("ice.xl",,"*H",AW$4,AY$5,"",$AV29)</f>
        <v/>
      </c>
    </row>
    <row r="30" spans="2:64" ht="14.5" thickBot="1" x14ac:dyDescent="0.35">
      <c r="G30" s="8" t="s">
        <v>50</v>
      </c>
      <c r="H30" s="7">
        <f>RTD("ice.xl",,H3,"EPSNextQtrExp")</f>
        <v>1.2836380000000001</v>
      </c>
      <c r="J30" s="29" t="s">
        <v>56</v>
      </c>
      <c r="K30" s="29"/>
      <c r="M30" s="29" t="s">
        <v>57</v>
      </c>
      <c r="N30" s="29"/>
      <c r="AV30" s="17">
        <f ca="1">RTD("ice.xl",,"*HT",_xll.FSJoinRange(AW4:AY4),"D[tl:Union]","300;6/27/2017","276")</f>
        <v>42879.333333333336</v>
      </c>
      <c r="AW30" s="2">
        <f ca="1">RTD("ice.xl",,"*H",AW$4,AW$5,"",$AV30)</f>
        <v>59.94</v>
      </c>
      <c r="AX30" s="2">
        <f ca="1">RTD("ice.xl",,"*H",AW$4,AX$5,"",$AV30)</f>
        <v>1452392</v>
      </c>
      <c r="AY30" s="2" t="str">
        <f ca="1">RTD("ice.xl",,"*H",AW$4,AY$5,"",$AV30)</f>
        <v/>
      </c>
    </row>
    <row r="31" spans="2:64" ht="14.5" thickTop="1" x14ac:dyDescent="0.3">
      <c r="G31" s="8" t="s">
        <v>49</v>
      </c>
      <c r="H31" s="14">
        <f>RTD("ice.xl",,H3,"EPSNextQtrDt")</f>
        <v>44867.833333333336</v>
      </c>
      <c r="J31" s="1" t="s">
        <v>17</v>
      </c>
      <c r="K31" s="1">
        <f>RTD("ice.xl",,H3,"PRD__52WkReturn1")</f>
        <v>-3.2309999999999999</v>
      </c>
      <c r="M31" s="1" t="s">
        <v>12</v>
      </c>
      <c r="N31" s="1">
        <f>RTD("ice.xl",,H3,"Annual Dividend")</f>
        <v>1.52</v>
      </c>
      <c r="AV31" s="17">
        <f ca="1">RTD("ice.xl",,"*HT",_xll.FSJoinRange(AW4:AY4),"D[tl:Union]","300;6/27/2017","275")</f>
        <v>42878.333333333336</v>
      </c>
      <c r="AW31" s="2">
        <f ca="1">RTD("ice.xl",,"*H",AW$4,AW$5,"",$AV31)</f>
        <v>59.87</v>
      </c>
      <c r="AX31" s="2">
        <f ca="1">RTD("ice.xl",,"*H",AW$4,AX$5,"",$AV31)</f>
        <v>1635826</v>
      </c>
      <c r="AY31" s="2" t="str">
        <f ca="1">RTD("ice.xl",,"*H",AW$4,AY$5,"",$AV31)</f>
        <v/>
      </c>
    </row>
    <row r="32" spans="2:64" x14ac:dyDescent="0.3">
      <c r="G32" s="1" t="s">
        <v>27</v>
      </c>
      <c r="H32" s="7">
        <f>RTD("ice.xl",,H3,"EPSNxFy")</f>
        <v>5.7168070000000002</v>
      </c>
      <c r="J32" s="1" t="s">
        <v>18</v>
      </c>
      <c r="K32" s="1">
        <f>RTD("ice.xl",,H3,"PRD__52WkReturn2")</f>
        <v>-2.0110000000000001</v>
      </c>
      <c r="M32" s="8" t="s">
        <v>60</v>
      </c>
      <c r="N32" s="1" t="str">
        <f>RTD("ice.xl",,H3,"Revenue")</f>
        <v>Field REVENUE not found</v>
      </c>
      <c r="AV32" s="17">
        <f ca="1">RTD("ice.xl",,"*HT",_xll.FSJoinRange(AW4:AY4),"D[tl:Union]","300;6/27/2017","274")</f>
        <v>42877.333333333336</v>
      </c>
      <c r="AW32" s="2">
        <f ca="1">RTD("ice.xl",,"*H",AW$4,AW$5,"",$AV32)</f>
        <v>59.46</v>
      </c>
      <c r="AX32" s="2">
        <f ca="1">RTD("ice.xl",,"*H",AW$4,AX$5,"",$AV32)</f>
        <v>1880829</v>
      </c>
      <c r="AY32" s="2" t="str">
        <f ca="1">RTD("ice.xl",,"*H",AW$4,AY$5,"",$AV32)</f>
        <v/>
      </c>
      <c r="BL32" s="2" t="str">
        <f>RTD("ice.xl",,"IBM","ExpRatio")</f>
        <v/>
      </c>
    </row>
    <row r="33" spans="7:51" x14ac:dyDescent="0.3">
      <c r="G33" s="8" t="s">
        <v>48</v>
      </c>
      <c r="H33" s="14" t="str">
        <f>RTD("ice.xl",,H3,"EPSNxFyDt")</f>
        <v/>
      </c>
      <c r="J33" s="1" t="s">
        <v>19</v>
      </c>
      <c r="K33" s="1">
        <f>RTD("ice.xl",,H3,"PRD__52WkDividend")</f>
        <v>1.42</v>
      </c>
      <c r="M33" s="8" t="s">
        <v>25</v>
      </c>
      <c r="N33" s="1">
        <f>RTD("ice.xl",,H3,"EBITDA")</f>
        <v>4802</v>
      </c>
      <c r="AV33" s="17">
        <f ca="1">RTD("ice.xl",,"*HT",_xll.FSJoinRange(AW4:AY4),"D[tl:Union]","300;6/27/2017","273")</f>
        <v>42874.333333333336</v>
      </c>
      <c r="AW33" s="2">
        <f ca="1">RTD("ice.xl",,"*H",AW$4,AW$5,"",$AV33)</f>
        <v>59.32</v>
      </c>
      <c r="AX33" s="2">
        <f ca="1">RTD("ice.xl",,"*H",AW$4,AX$5,"",$AV33)</f>
        <v>3018823</v>
      </c>
      <c r="AY33" s="2" t="str">
        <f ca="1">RTD("ice.xl",,"*H",AW$4,AY$5,"",$AV33)</f>
        <v/>
      </c>
    </row>
    <row r="34" spans="7:51" ht="15" customHeight="1" x14ac:dyDescent="0.3">
      <c r="G34" s="1" t="s">
        <v>28</v>
      </c>
      <c r="H34" s="7">
        <f>RTD("ice.xl",,H3,"EPSN2Fy")</f>
        <v>6.2763540000000004</v>
      </c>
      <c r="J34" s="1" t="s">
        <v>20</v>
      </c>
      <c r="K34" s="1">
        <f>RTD("ice.xl",,H3,"52Wk High")</f>
        <v>139.79</v>
      </c>
      <c r="M34" s="1" t="s">
        <v>22</v>
      </c>
      <c r="N34" s="1">
        <f>RTD("ice.xl",,H3,"BETA")</f>
        <v>0.89810000000000001</v>
      </c>
      <c r="AV34" s="17">
        <f ca="1">RTD("ice.xl",,"*HT",_xll.FSJoinRange(AW4:AY4),"D[tl:Union]","300;6/27/2017","272")</f>
        <v>42873.333333333336</v>
      </c>
      <c r="AW34" s="2">
        <f ca="1">RTD("ice.xl",,"*H",AW$4,AW$5,"",$AV34)</f>
        <v>58.59</v>
      </c>
      <c r="AX34" s="2">
        <f ca="1">RTD("ice.xl",,"*H",AW$4,AX$5,"",$AV34)</f>
        <v>2259015</v>
      </c>
      <c r="AY34" s="2" t="str">
        <f ca="1">RTD("ice.xl",,"*H",AW$4,AY$5,"",$AV34)</f>
        <v/>
      </c>
    </row>
    <row r="35" spans="7:51" x14ac:dyDescent="0.3">
      <c r="G35" s="1" t="s">
        <v>29</v>
      </c>
      <c r="H35" s="1">
        <f>RTD("ice.xl",,H3,"EPSPrevQtr")</f>
        <v>1.32</v>
      </c>
      <c r="J35" s="1" t="s">
        <v>21</v>
      </c>
      <c r="K35" s="1">
        <f>RTD("ice.xl",,H3,"52Wk Low")</f>
        <v>90.05</v>
      </c>
      <c r="M35" s="8" t="s">
        <v>61</v>
      </c>
      <c r="N35" s="1">
        <f>RTD("ice.xl",,H3,"CMPST_BOOKVAL")</f>
        <v>22832.722867</v>
      </c>
      <c r="AV35" s="17">
        <f ca="1">RTD("ice.xl",,"*HT",_xll.FSJoinRange(AW4:AY4),"D[tl:Union]","300;6/27/2017","271")</f>
        <v>42872.333333333336</v>
      </c>
      <c r="AW35" s="2">
        <f ca="1">RTD("ice.xl",,"*H",AW$4,AW$5,"",$AV35)</f>
        <v>58.07</v>
      </c>
      <c r="AX35" s="2">
        <f ca="1">RTD("ice.xl",,"*H",AW$4,AX$5,"",$AV35)</f>
        <v>2593445</v>
      </c>
      <c r="AY35" s="2" t="str">
        <f ca="1">RTD("ice.xl",,"*H",AW$4,AY$5,"",$AV35)</f>
        <v/>
      </c>
    </row>
    <row r="36" spans="7:51" ht="15.75" customHeight="1" x14ac:dyDescent="0.3">
      <c r="G36" s="1" t="s">
        <v>30</v>
      </c>
      <c r="H36" s="14">
        <f>RTD("ice.xl",,H3,"EPSPrevQtrDt")</f>
        <v>44777.3125</v>
      </c>
      <c r="M36" s="1" t="s">
        <v>23</v>
      </c>
      <c r="N36" s="1">
        <f>RTD("ice.xl",,H3,"Book Value Per Share")</f>
        <v>40.885300000000001</v>
      </c>
      <c r="AV36" s="17">
        <f ca="1">RTD("ice.xl",,"*HT",_xll.FSJoinRange(AW4:AY4),"D[tl:Union]","300;6/27/2017","270")</f>
        <v>42871.333333333336</v>
      </c>
      <c r="AW36" s="2">
        <f ca="1">RTD("ice.xl",,"*H",AW$4,AW$5,"",$AV36)</f>
        <v>59</v>
      </c>
      <c r="AX36" s="2">
        <f ca="1">RTD("ice.xl",,"*H",AW$4,AX$5,"",$AV36)</f>
        <v>1875049</v>
      </c>
      <c r="AY36" s="2" t="str">
        <f ca="1">RTD("ice.xl",,"*H",AW$4,AY$5,"",$AV36)</f>
        <v/>
      </c>
    </row>
    <row r="37" spans="7:51" x14ac:dyDescent="0.3">
      <c r="M37" s="1" t="s">
        <v>24</v>
      </c>
      <c r="N37" s="1" t="str">
        <f>RTD("ice.xl",,H3,"CurRatio")</f>
        <v/>
      </c>
      <c r="AV37" s="17">
        <f ca="1">RTD("ice.xl",,"*HT",_xll.FSJoinRange(AW4:AY4),"D[tl:Union]","300;6/27/2017","269")</f>
        <v>42870.333333333336</v>
      </c>
      <c r="AW37" s="2">
        <f ca="1">RTD("ice.xl",,"*H",AW$4,AW$5,"",$AV37)</f>
        <v>59.29</v>
      </c>
      <c r="AX37" s="2">
        <f ca="1">RTD("ice.xl",,"*H",AW$4,AX$5,"",$AV37)</f>
        <v>2145251</v>
      </c>
      <c r="AY37" s="2" t="str">
        <f ca="1">RTD("ice.xl",,"*H",AW$4,AY$5,"",$AV37)</f>
        <v/>
      </c>
    </row>
    <row r="38" spans="7:51" ht="15.75" customHeight="1" thickBot="1" x14ac:dyDescent="0.35">
      <c r="G38" s="29" t="s">
        <v>55</v>
      </c>
      <c r="H38" s="29"/>
      <c r="M38" s="1" t="s">
        <v>39</v>
      </c>
      <c r="N38" s="1" t="str">
        <f>RTD("ice.xl",,H3,"QkRatio")</f>
        <v/>
      </c>
      <c r="AV38" s="17">
        <f ca="1">RTD("ice.xl",,"*HT",_xll.FSJoinRange(AW4:AY4),"D[tl:Union]","300;6/27/2017","268")</f>
        <v>42867.333333333336</v>
      </c>
      <c r="AW38" s="2">
        <f ca="1">RTD("ice.xl",,"*H",AW$4,AW$5,"",$AV38)</f>
        <v>58.79</v>
      </c>
      <c r="AX38" s="2">
        <f ca="1">RTD("ice.xl",,"*H",AW$4,AX$5,"",$AV38)</f>
        <v>1665541</v>
      </c>
      <c r="AY38" s="2" t="str">
        <f ca="1">RTD("ice.xl",,"*H",AW$4,AY$5,"",$AV38)</f>
        <v/>
      </c>
    </row>
    <row r="39" spans="7:51" ht="14.5" thickTop="1" x14ac:dyDescent="0.3">
      <c r="G39" s="1" t="s">
        <v>42</v>
      </c>
      <c r="H39" s="19">
        <f>RTD("ice.xl",,H3,"Shares")</f>
        <v>558458000</v>
      </c>
      <c r="M39" s="1" t="s">
        <v>40</v>
      </c>
      <c r="N39" s="1">
        <f>RTD("ice.xl",,H3,"ROA")</f>
        <v>1.930183</v>
      </c>
      <c r="AV39" s="17">
        <f ca="1">RTD("ice.xl",,"*HT",_xll.FSJoinRange(AW4:AY4),"D[tl:Union]","300;6/27/2017","267")</f>
        <v>42866.333333333336</v>
      </c>
      <c r="AW39" s="2">
        <f ca="1">RTD("ice.xl",,"*H",AW$4,AW$5,"",$AV39)</f>
        <v>59.07</v>
      </c>
      <c r="AX39" s="2">
        <f ca="1">RTD("ice.xl",,"*H",AW$4,AX$5,"",$AV39)</f>
        <v>2929063</v>
      </c>
      <c r="AY39" s="2" t="str">
        <f ca="1">RTD("ice.xl",,"*H",AW$4,AY$5,"",$AV39)</f>
        <v/>
      </c>
    </row>
    <row r="40" spans="7:51" x14ac:dyDescent="0.3">
      <c r="G40" s="8" t="s">
        <v>51</v>
      </c>
      <c r="H40" s="1">
        <f>RTD("ice.xl",,H3,"SharesOut")</f>
        <v>558.45799999999997</v>
      </c>
      <c r="M40" s="1" t="s">
        <v>41</v>
      </c>
      <c r="N40" s="1">
        <f>RTD("ice.xl",,H3,"ROE")</f>
        <v>15.364286999999999</v>
      </c>
      <c r="AV40" s="17">
        <f ca="1">RTD("ice.xl",,"*HT",_xll.FSJoinRange(AW4:AY4),"D[tl:Union]","300;6/27/2017","266")</f>
        <v>42865.333333333336</v>
      </c>
      <c r="AW40" s="2">
        <f ca="1">RTD("ice.xl",,"*H",AW$4,AW$5,"",$AV40)</f>
        <v>59</v>
      </c>
      <c r="AX40" s="2">
        <f ca="1">RTD("ice.xl",,"*H",AW$4,AX$5,"",$AV40)</f>
        <v>2443271</v>
      </c>
      <c r="AY40" s="2" t="str">
        <f ca="1">RTD("ice.xl",,"*H",AW$4,AY$5,"",$AV40)</f>
        <v/>
      </c>
    </row>
    <row r="41" spans="7:51" x14ac:dyDescent="0.3">
      <c r="G41" s="1" t="s">
        <v>31</v>
      </c>
      <c r="H41" s="1">
        <f>RTD("ice.xl",,H3,"Float")</f>
        <v>550.72289000000001</v>
      </c>
      <c r="M41" s="1" t="s">
        <v>44</v>
      </c>
      <c r="N41" s="1">
        <f>RTD("ice.xl",,H3,"DebtToEq")</f>
        <v>80.564565999999999</v>
      </c>
      <c r="AV41" s="17">
        <f ca="1">RTD("ice.xl",,"*HT",_xll.FSJoinRange(AW4:AY4),"D[tl:Union]","300;6/27/2017","265")</f>
        <v>42864.333333333336</v>
      </c>
      <c r="AW41" s="2">
        <f ca="1">RTD("ice.xl",,"*H",AW$4,AW$5,"",$AV41)</f>
        <v>58.91</v>
      </c>
      <c r="AX41" s="2">
        <f ca="1">RTD("ice.xl",,"*H",AW$4,AX$5,"",$AV41)</f>
        <v>3735485</v>
      </c>
      <c r="AY41" s="2" t="str">
        <f ca="1">RTD("ice.xl",,"*H",AW$4,AY$5,"",$AV41)</f>
        <v/>
      </c>
    </row>
    <row r="42" spans="7:51" x14ac:dyDescent="0.3">
      <c r="G42" s="1" t="s">
        <v>43</v>
      </c>
      <c r="H42" s="1">
        <f>RTD("ice.xl",,H3,"PRD_Ratio")</f>
        <v>3.13</v>
      </c>
      <c r="M42" s="1" t="s">
        <v>38</v>
      </c>
      <c r="N42" s="1">
        <f>RTD("ice.xl",,H3,"PtoBook")</f>
        <v>3.3787470000000002</v>
      </c>
      <c r="AV42" s="17">
        <f ca="1">RTD("ice.xl",,"*HT",_xll.FSJoinRange(AW4:AY4),"D[tl:Union]","300;6/27/2017","264")</f>
        <v>42863.333333333336</v>
      </c>
      <c r="AW42" s="2">
        <f ca="1">RTD("ice.xl",,"*H",AW$4,AW$5,"",$AV42)</f>
        <v>59.09</v>
      </c>
      <c r="AX42" s="2">
        <f ca="1">RTD("ice.xl",,"*H",AW$4,AX$5,"",$AV42)</f>
        <v>2502356</v>
      </c>
      <c r="AY42" s="2" t="str">
        <f ca="1">RTD("ice.xl",,"*H",AW$4,AY$5,"",$AV42)</f>
        <v/>
      </c>
    </row>
    <row r="43" spans="7:51" x14ac:dyDescent="0.3">
      <c r="G43" s="9" t="s">
        <v>36</v>
      </c>
      <c r="H43" s="22">
        <f>RTD("ice.xl",,$H$3,G43)</f>
        <v>61201412220</v>
      </c>
      <c r="M43" s="1" t="s">
        <v>37</v>
      </c>
      <c r="N43" s="1">
        <f>RTD("ice.xl",,H3,"PytRatio")</f>
        <v>23.757738</v>
      </c>
      <c r="AV43" s="17">
        <f ca="1">RTD("ice.xl",,"*HT",_xll.FSJoinRange(AW4:AY4),"D[tl:Union]","300;6/27/2017","263")</f>
        <v>42860.333333333336</v>
      </c>
      <c r="AW43" s="2">
        <f ca="1">RTD("ice.xl",,"*H",AW$4,AW$5,"",$AV43)</f>
        <v>60.46</v>
      </c>
      <c r="AX43" s="2">
        <f ca="1">RTD("ice.xl",,"*H",AW$4,AX$5,"",$AV43)</f>
        <v>2152778</v>
      </c>
      <c r="AY43" s="2" t="str">
        <f ca="1">RTD("ice.xl",,"*H",AW$4,AY$5,"",$AV43)</f>
        <v/>
      </c>
    </row>
    <row r="44" spans="7:51" x14ac:dyDescent="0.3">
      <c r="AV44" s="17">
        <f ca="1">RTD("ice.xl",,"*HT",_xll.FSJoinRange(AW4:AY4),"D[tl:Union]","300;6/27/2017","262")</f>
        <v>42859.333333333336</v>
      </c>
      <c r="AW44" s="2">
        <f ca="1">RTD("ice.xl",,"*H",AW$4,AW$5,"",$AV44)</f>
        <v>60.87</v>
      </c>
      <c r="AX44" s="2">
        <f ca="1">RTD("ice.xl",,"*H",AW$4,AX$5,"",$AV44)</f>
        <v>3288441</v>
      </c>
      <c r="AY44" s="2" t="str">
        <f ca="1">RTD("ice.xl",,"*H",AW$4,AY$5,"",$AV44)</f>
        <v/>
      </c>
    </row>
    <row r="45" spans="7:51" x14ac:dyDescent="0.3">
      <c r="AV45" s="17">
        <f ca="1">RTD("ice.xl",,"*HT",_xll.FSJoinRange(AW4:AY4),"D[tl:Union]","300;6/27/2017","261")</f>
        <v>42858.333333333336</v>
      </c>
      <c r="AW45" s="2">
        <f ca="1">RTD("ice.xl",,"*H",AW$4,AW$5,"",$AV45)</f>
        <v>60.33</v>
      </c>
      <c r="AX45" s="2">
        <f ca="1">RTD("ice.xl",,"*H",AW$4,AX$5,"",$AV45)</f>
        <v>3891859</v>
      </c>
      <c r="AY45" s="2" t="str">
        <f ca="1">RTD("ice.xl",,"*H",AW$4,AY$5,"",$AV45)</f>
        <v/>
      </c>
    </row>
    <row r="46" spans="7:51" x14ac:dyDescent="0.3">
      <c r="AV46" s="17">
        <f ca="1">RTD("ice.xl",,"*HT",_xll.FSJoinRange(AW4:AY4),"D[tl:Union]","300;6/27/2017","260")</f>
        <v>42857.333333333336</v>
      </c>
      <c r="AW46" s="2">
        <f ca="1">RTD("ice.xl",,"*H",AW$4,AW$5,"",$AV46)</f>
        <v>60.62</v>
      </c>
      <c r="AX46" s="2">
        <f ca="1">RTD("ice.xl",,"*H",AW$4,AX$5,"",$AV46)</f>
        <v>3602655</v>
      </c>
      <c r="AY46" s="2" t="str">
        <f ca="1">RTD("ice.xl",,"*H",AW$4,AY$5,"",$AV46)</f>
        <v/>
      </c>
    </row>
    <row r="47" spans="7:51" x14ac:dyDescent="0.3">
      <c r="AV47" s="17">
        <f ca="1">RTD("ice.xl",,"*HT",_xll.FSJoinRange(AW4:AY4),"D[tl:Union]","300;6/27/2017","259")</f>
        <v>42856.333333333336</v>
      </c>
      <c r="AW47" s="2">
        <f ca="1">RTD("ice.xl",,"*H",AW$4,AW$5,"",$AV47)</f>
        <v>60.4</v>
      </c>
      <c r="AX47" s="2">
        <f ca="1">RTD("ice.xl",,"*H",AW$4,AX$5,"",$AV47)</f>
        <v>3246615</v>
      </c>
      <c r="AY47" s="2" t="str">
        <f ca="1">RTD("ice.xl",,"*H",AW$4,AY$5,"",$AV47)</f>
        <v/>
      </c>
    </row>
    <row r="48" spans="7:51" x14ac:dyDescent="0.3">
      <c r="AV48" s="17">
        <f ca="1">RTD("ice.xl",,"*HT",_xll.FSJoinRange(AW4:AY4),"D[tl:Union]","300;6/27/2017","258")</f>
        <v>42853.333333333336</v>
      </c>
      <c r="AW48" s="2">
        <f ca="1">RTD("ice.xl",,"*H",AW$4,AW$5,"",$AV48)</f>
        <v>60.2</v>
      </c>
      <c r="AX48" s="2">
        <f ca="1">RTD("ice.xl",,"*H",AW$4,AX$5,"",$AV48)</f>
        <v>2961129</v>
      </c>
      <c r="AY48" s="2" t="str">
        <f ca="1">RTD("ice.xl",,"*H",AW$4,AY$5,"",$AV48)</f>
        <v/>
      </c>
    </row>
    <row r="49" spans="48:51" x14ac:dyDescent="0.3">
      <c r="AV49" s="17">
        <f ca="1">RTD("ice.xl",,"*HT",_xll.FSJoinRange(AW4:AY4),"D[tl:Union]","300;6/27/2017","257")</f>
        <v>42852.333333333336</v>
      </c>
      <c r="AW49" s="2">
        <f ca="1">RTD("ice.xl",,"*H",AW$4,AW$5,"",$AV49)</f>
        <v>60.21</v>
      </c>
      <c r="AX49" s="2">
        <f ca="1">RTD("ice.xl",,"*H",AW$4,AX$5,"",$AV49)</f>
        <v>2651836</v>
      </c>
      <c r="AY49" s="2" t="str">
        <f ca="1">RTD("ice.xl",,"*H",AW$4,AY$5,"",$AV49)</f>
        <v/>
      </c>
    </row>
    <row r="50" spans="48:51" x14ac:dyDescent="0.3">
      <c r="AV50" s="17">
        <f ca="1">RTD("ice.xl",,"*HT",_xll.FSJoinRange(AW4:AY4),"D[tl:Union]","300;6/27/2017","256")</f>
        <v>42851.333333333336</v>
      </c>
      <c r="AW50" s="2">
        <f ca="1">RTD("ice.xl",,"*H",AW$4,AW$5,"",$AV50)</f>
        <v>61.1</v>
      </c>
      <c r="AX50" s="2">
        <f ca="1">RTD("ice.xl",,"*H",AW$4,AX$5,"",$AV50)</f>
        <v>1719192</v>
      </c>
      <c r="AY50" s="2" t="str">
        <f ca="1">RTD("ice.xl",,"*H",AW$4,AY$5,"",$AV50)</f>
        <v/>
      </c>
    </row>
    <row r="51" spans="48:51" x14ac:dyDescent="0.3">
      <c r="AV51" s="17">
        <f ca="1">RTD("ice.xl",,"*HT",_xll.FSJoinRange(AW4:AY4),"D[tl:Union]","300;6/27/2017","255")</f>
        <v>42850.333333333336</v>
      </c>
      <c r="AW51" s="2">
        <f ca="1">RTD("ice.xl",,"*H",AW$4,AW$5,"",$AV51)</f>
        <v>60.97</v>
      </c>
      <c r="AX51" s="2">
        <f ca="1">RTD("ice.xl",,"*H",AW$4,AX$5,"",$AV51)</f>
        <v>1852563</v>
      </c>
      <c r="AY51" s="2" t="str">
        <f ca="1">RTD("ice.xl",,"*H",AW$4,AY$5,"",$AV51)</f>
        <v/>
      </c>
    </row>
    <row r="52" spans="48:51" x14ac:dyDescent="0.3">
      <c r="AV52" s="17">
        <f ca="1">RTD("ice.xl",,"*HT",_xll.FSJoinRange(AW4:AY4),"D[tl:Union]","300;6/27/2017","254")</f>
        <v>42849.333333333336</v>
      </c>
      <c r="AW52" s="2">
        <f ca="1">RTD("ice.xl",,"*H",AW$4,AW$5,"",$AV52)</f>
        <v>60.58</v>
      </c>
      <c r="AX52" s="2">
        <f ca="1">RTD("ice.xl",,"*H",AW$4,AX$5,"",$AV52)</f>
        <v>2996070</v>
      </c>
      <c r="AY52" s="2" t="str">
        <f ca="1">RTD("ice.xl",,"*H",AW$4,AY$5,"",$AV52)</f>
        <v/>
      </c>
    </row>
    <row r="53" spans="48:51" x14ac:dyDescent="0.3">
      <c r="AV53" s="17">
        <f ca="1">RTD("ice.xl",,"*HT",_xll.FSJoinRange(AW4:AY4),"D[tl:Union]","300;6/27/2017","253")</f>
        <v>42846.333333333336</v>
      </c>
      <c r="AW53" s="2">
        <f ca="1">RTD("ice.xl",,"*H",AW$4,AW$5,"",$AV53)</f>
        <v>60.41</v>
      </c>
      <c r="AX53" s="2">
        <f ca="1">RTD("ice.xl",,"*H",AW$4,AX$5,"",$AV53)</f>
        <v>1856852</v>
      </c>
      <c r="AY53" s="2" t="str">
        <f ca="1">RTD("ice.xl",,"*H",AW$4,AY$5,"",$AV53)</f>
        <v/>
      </c>
    </row>
    <row r="54" spans="48:51" x14ac:dyDescent="0.3">
      <c r="AV54" s="17">
        <f ca="1">RTD("ice.xl",,"*HT",_xll.FSJoinRange(AW4:AY4),"D[tl:Union]","300;6/27/2017","252")</f>
        <v>42845.333333333336</v>
      </c>
      <c r="AW54" s="2">
        <f ca="1">RTD("ice.xl",,"*H",AW$4,AW$5,"",$AV54)</f>
        <v>60.63</v>
      </c>
      <c r="AX54" s="2">
        <f ca="1">RTD("ice.xl",,"*H",AW$4,AX$5,"",$AV54)</f>
        <v>3083887</v>
      </c>
      <c r="AY54" s="2" t="str">
        <f ca="1">RTD("ice.xl",,"*H",AW$4,AY$5,"",$AV54)</f>
        <v/>
      </c>
    </row>
    <row r="55" spans="48:51" x14ac:dyDescent="0.3">
      <c r="AV55" s="17">
        <f ca="1">RTD("ice.xl",,"*HT",_xll.FSJoinRange(AW4:AY4),"D[tl:Union]","300;6/27/2017","251")</f>
        <v>42844.333333333336</v>
      </c>
      <c r="AW55" s="2">
        <f ca="1">RTD("ice.xl",,"*H",AW$4,AW$5,"",$AV55)</f>
        <v>59.95</v>
      </c>
      <c r="AX55" s="2">
        <f ca="1">RTD("ice.xl",,"*H",AW$4,AX$5,"",$AV55)</f>
        <v>1993288</v>
      </c>
      <c r="AY55" s="2" t="str">
        <f ca="1">RTD("ice.xl",,"*H",AW$4,AY$5,"",$AV55)</f>
        <v/>
      </c>
    </row>
    <row r="56" spans="48:51" x14ac:dyDescent="0.3">
      <c r="AV56" s="17">
        <f ca="1">RTD("ice.xl",,"*HT",_xll.FSJoinRange(AW4:AY4),"D[tl:Union]","300;6/27/2017","250")</f>
        <v>42843.333333333336</v>
      </c>
      <c r="AW56" s="2">
        <f ca="1">RTD("ice.xl",,"*H",AW$4,AW$5,"",$AV56)</f>
        <v>60.27</v>
      </c>
      <c r="AX56" s="2">
        <f ca="1">RTD("ice.xl",,"*H",AW$4,AX$5,"",$AV56)</f>
        <v>1673530</v>
      </c>
      <c r="AY56" s="2" t="str">
        <f ca="1">RTD("ice.xl",,"*H",AW$4,AY$5,"",$AV56)</f>
        <v/>
      </c>
    </row>
    <row r="57" spans="48:51" x14ac:dyDescent="0.3">
      <c r="AV57" s="17">
        <f ca="1">RTD("ice.xl",,"*HT",_xll.FSJoinRange(AW4:AY4),"D[tl:Union]","300;6/27/2017","249")</f>
        <v>42842.333333333336</v>
      </c>
      <c r="AW57" s="2">
        <f ca="1">RTD("ice.xl",,"*H",AW$4,AW$5,"",$AV57)</f>
        <v>60.1</v>
      </c>
      <c r="AX57" s="2">
        <f ca="1">RTD("ice.xl",,"*H",AW$4,AX$5,"",$AV57)</f>
        <v>1217043</v>
      </c>
      <c r="AY57" s="2" t="str">
        <f ca="1">RTD("ice.xl",,"*H",AW$4,AY$5,"",$AV57)</f>
        <v/>
      </c>
    </row>
    <row r="58" spans="48:51" x14ac:dyDescent="0.3">
      <c r="AV58" s="17">
        <f ca="1">RTD("ice.xl",,"*HT",_xll.FSJoinRange(AW4:AY4),"D[tl:Union]","300;6/27/2017","248")</f>
        <v>42838.333333333336</v>
      </c>
      <c r="AW58" s="2">
        <f ca="1">RTD("ice.xl",,"*H",AW$4,AW$5,"",$AV58)</f>
        <v>59.42</v>
      </c>
      <c r="AX58" s="2">
        <f ca="1">RTD("ice.xl",,"*H",AW$4,AX$5,"",$AV58)</f>
        <v>1644556</v>
      </c>
      <c r="AY58" s="2" t="str">
        <f ca="1">RTD("ice.xl",,"*H",AW$4,AY$5,"",$AV58)</f>
        <v/>
      </c>
    </row>
    <row r="59" spans="48:51" x14ac:dyDescent="0.3">
      <c r="AV59" s="17">
        <f ca="1">RTD("ice.xl",,"*HT",_xll.FSJoinRange(AW4:AY4),"D[tl:Union]","300;6/27/2017","247")</f>
        <v>42837.333333333336</v>
      </c>
      <c r="AW59" s="2">
        <f ca="1">RTD("ice.xl",,"*H",AW$4,AW$5,"",$AV59)</f>
        <v>59.83</v>
      </c>
      <c r="AX59" s="2">
        <f ca="1">RTD("ice.xl",,"*H",AW$4,AX$5,"",$AV59)</f>
        <v>2386463</v>
      </c>
      <c r="AY59" s="2" t="str">
        <f ca="1">RTD("ice.xl",,"*H",AW$4,AY$5,"",$AV59)</f>
        <v/>
      </c>
    </row>
    <row r="60" spans="48:51" x14ac:dyDescent="0.3">
      <c r="AV60" s="17">
        <f ca="1">RTD("ice.xl",,"*HT",_xll.FSJoinRange(AW4:AY4),"D[tl:Union]","300;6/27/2017","246")</f>
        <v>42836.333333333336</v>
      </c>
      <c r="AW60" s="2">
        <f ca="1">RTD("ice.xl",,"*H",AW$4,AW$5,"",$AV60)</f>
        <v>60.29</v>
      </c>
      <c r="AX60" s="2">
        <f ca="1">RTD("ice.xl",,"*H",AW$4,AX$5,"",$AV60)</f>
        <v>3242017</v>
      </c>
      <c r="AY60" s="2" t="str">
        <f ca="1">RTD("ice.xl",,"*H",AW$4,AY$5,"",$AV60)</f>
        <v/>
      </c>
    </row>
    <row r="61" spans="48:51" x14ac:dyDescent="0.3">
      <c r="AV61" s="17">
        <f ca="1">RTD("ice.xl",,"*HT",_xll.FSJoinRange(AW4:AY4),"D[tl:Union]","300;6/27/2017","245")</f>
        <v>42835.333333333336</v>
      </c>
      <c r="AW61" s="2">
        <f ca="1">RTD("ice.xl",,"*H",AW$4,AW$5,"",$AV61)</f>
        <v>60.4</v>
      </c>
      <c r="AX61" s="2">
        <f ca="1">RTD("ice.xl",,"*H",AW$4,AX$5,"",$AV61)</f>
        <v>2667200</v>
      </c>
      <c r="AY61" s="2" t="str">
        <f ca="1">RTD("ice.xl",,"*H",AW$4,AY$5,"",$AV61)</f>
        <v/>
      </c>
    </row>
    <row r="62" spans="48:51" x14ac:dyDescent="0.3">
      <c r="AV62" s="17">
        <f ca="1">RTD("ice.xl",,"*HT",_xll.FSJoinRange(AW4:AY4),"D[tl:Union]","300;6/27/2017","244")</f>
        <v>42832.333333333336</v>
      </c>
      <c r="AW62" s="2">
        <f ca="1">RTD("ice.xl",,"*H",AW$4,AW$5,"",$AV62)</f>
        <v>60.78</v>
      </c>
      <c r="AX62" s="2">
        <f ca="1">RTD("ice.xl",,"*H",AW$4,AX$5,"",$AV62)</f>
        <v>3876495</v>
      </c>
      <c r="AY62" s="2" t="str">
        <f ca="1">RTD("ice.xl",,"*H",AW$4,AY$5,"",$AV62)</f>
        <v/>
      </c>
    </row>
    <row r="63" spans="48:51" x14ac:dyDescent="0.3">
      <c r="AV63" s="17">
        <f ca="1">RTD("ice.xl",,"*HT",_xll.FSJoinRange(AW4:AY4),"D[tl:Union]","300;6/27/2017","243")</f>
        <v>42831.333333333336</v>
      </c>
      <c r="AW63" s="2">
        <f ca="1">RTD("ice.xl",,"*H",AW$4,AW$5,"",$AV63)</f>
        <v>60.24</v>
      </c>
      <c r="AX63" s="2">
        <f ca="1">RTD("ice.xl",,"*H",AW$4,AX$5,"",$AV63)</f>
        <v>3361025</v>
      </c>
      <c r="AY63" s="2" t="str">
        <f ca="1">RTD("ice.xl",,"*H",AW$4,AY$5,"",$AV63)</f>
        <v/>
      </c>
    </row>
    <row r="64" spans="48:51" x14ac:dyDescent="0.3">
      <c r="AV64" s="17">
        <f ca="1">RTD("ice.xl",,"*HT",_xll.FSJoinRange(AW4:AY4),"D[tl:Union]","300;6/27/2017","242")</f>
        <v>42830.333333333336</v>
      </c>
      <c r="AW64" s="2">
        <f ca="1">RTD("ice.xl",,"*H",AW$4,AW$5,"",$AV64)</f>
        <v>59.97</v>
      </c>
      <c r="AX64" s="2">
        <f ca="1">RTD("ice.xl",,"*H",AW$4,AX$5,"",$AV64)</f>
        <v>3067275</v>
      </c>
      <c r="AY64" s="2" t="str">
        <f ca="1">RTD("ice.xl",,"*H",AW$4,AY$5,"",$AV64)</f>
        <v/>
      </c>
    </row>
    <row r="65" spans="48:51" x14ac:dyDescent="0.3">
      <c r="AV65" s="17">
        <f ca="1">RTD("ice.xl",,"*HT",_xll.FSJoinRange(AW4:AY4),"D[tl:Union]","300;6/27/2017","241")</f>
        <v>42829.333333333336</v>
      </c>
      <c r="AW65" s="2">
        <f ca="1">RTD("ice.xl",,"*H",AW$4,AW$5,"",$AV65)</f>
        <v>59.41</v>
      </c>
      <c r="AX65" s="2">
        <f ca="1">RTD("ice.xl",,"*H",AW$4,AX$5,"",$AV65)</f>
        <v>2445652</v>
      </c>
      <c r="AY65" s="2" t="str">
        <f ca="1">RTD("ice.xl",,"*H",AW$4,AY$5,"",$AV65)</f>
        <v/>
      </c>
    </row>
    <row r="66" spans="48:51" x14ac:dyDescent="0.3">
      <c r="AV66" s="17">
        <f ca="1">RTD("ice.xl",,"*HT",_xll.FSJoinRange(AW4:AY4),"D[tl:Union]","300;6/27/2017","240")</f>
        <v>42828.333333333336</v>
      </c>
      <c r="AW66" s="2">
        <f ca="1">RTD("ice.xl",,"*H",AW$4,AW$5,"",$AV66)</f>
        <v>59.32</v>
      </c>
      <c r="AX66" s="2">
        <f ca="1">RTD("ice.xl",,"*H",AW$4,AX$5,"",$AV66)</f>
        <v>2561247</v>
      </c>
      <c r="AY66" s="2" t="str">
        <f ca="1">RTD("ice.xl",,"*H",AW$4,AY$5,"",$AV66)</f>
        <v/>
      </c>
    </row>
    <row r="67" spans="48:51" x14ac:dyDescent="0.3">
      <c r="AV67" s="17">
        <f ca="1">RTD("ice.xl",,"*HT",_xll.FSJoinRange(AW4:AY4),"D[tl:Union]","300;6/27/2017","239")</f>
        <v>42825.333333333336</v>
      </c>
      <c r="AW67" s="2">
        <f ca="1">RTD("ice.xl",,"*H",AW$4,AW$5,"",$AV67)</f>
        <v>59.87</v>
      </c>
      <c r="AX67" s="2">
        <f ca="1">RTD("ice.xl",,"*H",AW$4,AX$5,"",$AV67)</f>
        <v>2099490</v>
      </c>
      <c r="AY67" s="2" t="str">
        <f ca="1">RTD("ice.xl",,"*H",AW$4,AY$5,"",$AV67)</f>
        <v/>
      </c>
    </row>
    <row r="68" spans="48:51" x14ac:dyDescent="0.3">
      <c r="AV68" s="17">
        <f ca="1">RTD("ice.xl",,"*HT",_xll.FSJoinRange(AW4:AY4),"D[tl:Union]","300;6/27/2017","238")</f>
        <v>42824.333333333336</v>
      </c>
      <c r="AW68" s="2">
        <f ca="1">RTD("ice.xl",,"*H",AW$4,AW$5,"",$AV68)</f>
        <v>60.03</v>
      </c>
      <c r="AX68" s="2">
        <f ca="1">RTD("ice.xl",,"*H",AW$4,AX$5,"",$AV68)</f>
        <v>2030398</v>
      </c>
      <c r="AY68" s="2" t="str">
        <f ca="1">RTD("ice.xl",,"*H",AW$4,AY$5,"",$AV68)</f>
        <v/>
      </c>
    </row>
    <row r="69" spans="48:51" x14ac:dyDescent="0.3">
      <c r="AV69" s="17">
        <f ca="1">RTD("ice.xl",,"*HT",_xll.FSJoinRange(AW4:AY4),"D[tl:Union]","300;6/27/2017","237")</f>
        <v>42823.333333333336</v>
      </c>
      <c r="AW69" s="2">
        <f ca="1">RTD("ice.xl",,"*H",AW$4,AW$5,"",$AV69)</f>
        <v>59.3</v>
      </c>
      <c r="AX69" s="2">
        <f ca="1">RTD("ice.xl",,"*H",AW$4,AX$5,"",$AV69)</f>
        <v>1890686</v>
      </c>
      <c r="AY69" s="2" t="str">
        <f ca="1">RTD("ice.xl",,"*H",AW$4,AY$5,"",$AV69)</f>
        <v/>
      </c>
    </row>
    <row r="70" spans="48:51" x14ac:dyDescent="0.3">
      <c r="AV70" s="17">
        <f ca="1">RTD("ice.xl",,"*HT",_xll.FSJoinRange(AW4:AY4),"D[tl:Union]","300;6/27/2017","236")</f>
        <v>42822.333333333336</v>
      </c>
      <c r="AW70" s="2">
        <f ca="1">RTD("ice.xl",,"*H",AW$4,AW$5,"",$AV70)</f>
        <v>59.83</v>
      </c>
      <c r="AX70" s="2">
        <f ca="1">RTD("ice.xl",,"*H",AW$4,AX$5,"",$AV70)</f>
        <v>2076526</v>
      </c>
      <c r="AY70" s="2" t="str">
        <f ca="1">RTD("ice.xl",,"*H",AW$4,AY$5,"",$AV70)</f>
        <v/>
      </c>
    </row>
    <row r="71" spans="48:51" x14ac:dyDescent="0.3">
      <c r="AV71" s="17">
        <f ca="1">RTD("ice.xl",,"*HT",_xll.FSJoinRange(AW4:AY4),"D[tl:Union]","300;6/27/2017","235")</f>
        <v>42821.333333333336</v>
      </c>
      <c r="AW71" s="2">
        <f ca="1">RTD("ice.xl",,"*H",AW$4,AW$5,"",$AV71)</f>
        <v>59.4</v>
      </c>
      <c r="AX71" s="2">
        <f ca="1">RTD("ice.xl",,"*H",AW$4,AX$5,"",$AV71)</f>
        <v>1922738</v>
      </c>
      <c r="AY71" s="2" t="str">
        <f ca="1">RTD("ice.xl",,"*H",AW$4,AY$5,"",$AV71)</f>
        <v/>
      </c>
    </row>
    <row r="72" spans="48:51" x14ac:dyDescent="0.3">
      <c r="AV72" s="17">
        <f ca="1">RTD("ice.xl",,"*HT",_xll.FSJoinRange(AW4:AY4),"D[tl:Union]","300;6/27/2017","234")</f>
        <v>42818.333333333336</v>
      </c>
      <c r="AW72" s="2">
        <f ca="1">RTD("ice.xl",,"*H",AW$4,AW$5,"",$AV72)</f>
        <v>59.85</v>
      </c>
      <c r="AX72" s="2">
        <f ca="1">RTD("ice.xl",,"*H",AW$4,AX$5,"",$AV72)</f>
        <v>2536089</v>
      </c>
      <c r="AY72" s="2" t="str">
        <f ca="1">RTD("ice.xl",,"*H",AW$4,AY$5,"",$AV72)</f>
        <v/>
      </c>
    </row>
    <row r="73" spans="48:51" x14ac:dyDescent="0.3">
      <c r="AV73" s="17">
        <f ca="1">RTD("ice.xl",,"*HT",_xll.FSJoinRange(AW4:AY4),"D[tl:Union]","300;6/27/2017","233")</f>
        <v>42817.333333333336</v>
      </c>
      <c r="AW73" s="2">
        <f ca="1">RTD("ice.xl",,"*H",AW$4,AW$5,"",$AV73)</f>
        <v>59.87</v>
      </c>
      <c r="AX73" s="2">
        <f ca="1">RTD("ice.xl",,"*H",AW$4,AX$5,"",$AV73)</f>
        <v>2433474</v>
      </c>
      <c r="AY73" s="2" t="str">
        <f ca="1">RTD("ice.xl",,"*H",AW$4,AY$5,"",$AV73)</f>
        <v/>
      </c>
    </row>
    <row r="74" spans="48:51" x14ac:dyDescent="0.3">
      <c r="AV74" s="17">
        <f ca="1">RTD("ice.xl",,"*HT",_xll.FSJoinRange(AW4:AY4),"D[tl:Union]","300;6/27/2017","232")</f>
        <v>42816.333333333336</v>
      </c>
      <c r="AW74" s="2">
        <f ca="1">RTD("ice.xl",,"*H",AW$4,AW$5,"",$AV74)</f>
        <v>59.8</v>
      </c>
      <c r="AX74" s="2">
        <f ca="1">RTD("ice.xl",,"*H",AW$4,AX$5,"",$AV74)</f>
        <v>2120709</v>
      </c>
      <c r="AY74" s="2" t="str">
        <f ca="1">RTD("ice.xl",,"*H",AW$4,AY$5,"",$AV74)</f>
        <v/>
      </c>
    </row>
    <row r="75" spans="48:51" x14ac:dyDescent="0.3">
      <c r="AV75" s="17">
        <f ca="1">RTD("ice.xl",,"*HT",_xll.FSJoinRange(AW4:AY4),"D[tl:Union]","300;6/27/2017","231")</f>
        <v>42815.333333333336</v>
      </c>
      <c r="AW75" s="2">
        <f ca="1">RTD("ice.xl",,"*H",AW$4,AW$5,"",$AV75)</f>
        <v>60.03</v>
      </c>
      <c r="AX75" s="2">
        <f ca="1">RTD("ice.xl",,"*H",AW$4,AX$5,"",$AV75)</f>
        <v>3332353</v>
      </c>
      <c r="AY75" s="2" t="str">
        <f ca="1">RTD("ice.xl",,"*H",AW$4,AY$5,"",$AV75)</f>
        <v/>
      </c>
    </row>
    <row r="76" spans="48:51" x14ac:dyDescent="0.3">
      <c r="AV76" s="17">
        <f ca="1">RTD("ice.xl",,"*HT",_xll.FSJoinRange(AW4:AY4),"D[tl:Union]","300;6/27/2017","230")</f>
        <v>42814.333333333336</v>
      </c>
      <c r="AW76" s="2">
        <f ca="1">RTD("ice.xl",,"*H",AW$4,AW$5,"",$AV76)</f>
        <v>61</v>
      </c>
      <c r="AX76" s="2">
        <f ca="1">RTD("ice.xl",,"*H",AW$4,AX$5,"",$AV76)</f>
        <v>2321124</v>
      </c>
      <c r="AY76" s="2" t="str">
        <f ca="1">RTD("ice.xl",,"*H",AW$4,AY$5,"",$AV76)</f>
        <v/>
      </c>
    </row>
    <row r="77" spans="48:51" x14ac:dyDescent="0.3">
      <c r="AV77" s="17">
        <f ca="1">RTD("ice.xl",,"*HT",_xll.FSJoinRange(AW4:AY4),"D[tl:Union]","300;6/27/2017","229")</f>
        <v>42811.333333333336</v>
      </c>
      <c r="AW77" s="2">
        <f ca="1">RTD("ice.xl",,"*H",AW$4,AW$5,"",$AV77)</f>
        <v>61.4</v>
      </c>
      <c r="AX77" s="2">
        <f ca="1">RTD("ice.xl",,"*H",AW$4,AX$5,"",$AV77)</f>
        <v>4871186</v>
      </c>
      <c r="AY77" s="2" t="str">
        <f ca="1">RTD("ice.xl",,"*H",AW$4,AY$5,"",$AV77)</f>
        <v/>
      </c>
    </row>
    <row r="78" spans="48:51" x14ac:dyDescent="0.3">
      <c r="AV78" s="17">
        <f ca="1">RTD("ice.xl",,"*HT",_xll.FSJoinRange(AW4:AY4),"D[tl:Union]","300;6/27/2017","228")</f>
        <v>42810.333333333336</v>
      </c>
      <c r="AW78" s="2">
        <f ca="1">RTD("ice.xl",,"*H",AW$4,AW$5,"",$AV78)</f>
        <v>61.55</v>
      </c>
      <c r="AX78" s="2">
        <f ca="1">RTD("ice.xl",,"*H",AW$4,AX$5,"",$AV78)</f>
        <v>3933178</v>
      </c>
      <c r="AY78" s="2" t="str">
        <f ca="1">RTD("ice.xl",,"*H",AW$4,AY$5,"",$AV78)</f>
        <v/>
      </c>
    </row>
    <row r="79" spans="48:51" x14ac:dyDescent="0.3">
      <c r="AV79" s="17">
        <f ca="1">RTD("ice.xl",,"*HT",_xll.FSJoinRange(AW4:AY4),"D[tl:Union]","300;6/27/2017","227")</f>
        <v>42809.333333333336</v>
      </c>
      <c r="AW79" s="2">
        <f ca="1">RTD("ice.xl",,"*H",AW$4,AW$5,"",$AV79)</f>
        <v>60.4</v>
      </c>
      <c r="AX79" s="2">
        <f ca="1">RTD("ice.xl",,"*H",AW$4,AX$5,"",$AV79)</f>
        <v>2791394</v>
      </c>
      <c r="AY79" s="2" t="str">
        <f ca="1">RTD("ice.xl",,"*H",AW$4,AY$5,"",$AV79)</f>
        <v/>
      </c>
    </row>
    <row r="80" spans="48:51" x14ac:dyDescent="0.3">
      <c r="AV80" s="17">
        <f ca="1">RTD("ice.xl",,"*HT",_xll.FSJoinRange(AW4:AY4),"D[tl:Union]","300;6/27/2017","226")</f>
        <v>42808.333333333336</v>
      </c>
      <c r="AW80" s="2">
        <f ca="1">RTD("ice.xl",,"*H",AW$4,AW$5,"",$AV80)</f>
        <v>60.21</v>
      </c>
      <c r="AX80" s="2">
        <f ca="1">RTD("ice.xl",,"*H",AW$4,AX$5,"",$AV80)</f>
        <v>3413762</v>
      </c>
      <c r="AY80" s="2" t="str">
        <f ca="1">RTD("ice.xl",,"*H",AW$4,AY$5,"",$AV80)</f>
        <v/>
      </c>
    </row>
    <row r="81" spans="48:51" x14ac:dyDescent="0.3">
      <c r="AV81" s="17">
        <f ca="1">RTD("ice.xl",,"*HT",_xll.FSJoinRange(AW4:AY4),"D[tl:Union]","300;6/27/2017","225")</f>
        <v>42807.333333333336</v>
      </c>
      <c r="AW81" s="2">
        <f ca="1">RTD("ice.xl",,"*H",AW$4,AW$5,"",$AV81)</f>
        <v>60.4</v>
      </c>
      <c r="AX81" s="2">
        <f ca="1">RTD("ice.xl",,"*H",AW$4,AX$5,"",$AV81)</f>
        <v>4264014</v>
      </c>
      <c r="AY81" s="2" t="str">
        <f ca="1">RTD("ice.xl",,"*H",AW$4,AY$5,"",$AV81)</f>
        <v/>
      </c>
    </row>
    <row r="82" spans="48:51" x14ac:dyDescent="0.3">
      <c r="AV82" s="17">
        <f ca="1">RTD("ice.xl",,"*HT",_xll.FSJoinRange(AW4:AY4),"D[tl:Union]","300;6/27/2017","224")</f>
        <v>42804.291666666664</v>
      </c>
      <c r="AW82" s="2">
        <f ca="1">RTD("ice.xl",,"*H",AW$4,AW$5,"",$AV82)</f>
        <v>60.26</v>
      </c>
      <c r="AX82" s="2">
        <f ca="1">RTD("ice.xl",,"*H",AW$4,AX$5,"",$AV82)</f>
        <v>3584536</v>
      </c>
      <c r="AY82" s="2" t="str">
        <f ca="1">RTD("ice.xl",,"*H",AW$4,AY$5,"",$AV82)</f>
        <v/>
      </c>
    </row>
    <row r="83" spans="48:51" x14ac:dyDescent="0.3">
      <c r="AV83" s="17">
        <f ca="1">RTD("ice.xl",,"*HT",_xll.FSJoinRange(AW4:AY4),"D[tl:Union]","300;6/27/2017","223")</f>
        <v>42803.291666666664</v>
      </c>
      <c r="AW83" s="2">
        <f ca="1">RTD("ice.xl",,"*H",AW$4,AW$5,"",$AV83)</f>
        <v>60.06</v>
      </c>
      <c r="AX83" s="2">
        <f ca="1">RTD("ice.xl",,"*H",AW$4,AX$5,"",$AV83)</f>
        <v>5102383</v>
      </c>
      <c r="AY83" s="2" t="str">
        <f ca="1">RTD("ice.xl",,"*H",AW$4,AY$5,"",$AV83)</f>
        <v/>
      </c>
    </row>
    <row r="84" spans="48:51" x14ac:dyDescent="0.3">
      <c r="AV84" s="17">
        <f ca="1">RTD("ice.xl",,"*HT",_xll.FSJoinRange(AW4:AY4),"D[tl:Union]","300;6/27/2017","222")</f>
        <v>42802.291666666664</v>
      </c>
      <c r="AW84" s="2">
        <f ca="1">RTD("ice.xl",,"*H",AW$4,AW$5,"",$AV84)</f>
        <v>59.39</v>
      </c>
      <c r="AX84" s="2">
        <f ca="1">RTD("ice.xl",,"*H",AW$4,AX$5,"",$AV84)</f>
        <v>3465894</v>
      </c>
      <c r="AY84" s="2" t="str">
        <f ca="1">RTD("ice.xl",,"*H",AW$4,AY$5,"",$AV84)</f>
        <v/>
      </c>
    </row>
    <row r="85" spans="48:51" x14ac:dyDescent="0.3">
      <c r="AV85" s="17">
        <f ca="1">RTD("ice.xl",,"*HT",_xll.FSJoinRange(AW4:AY4),"D[tl:Union]","300;6/27/2017","221")</f>
        <v>42801.291666666664</v>
      </c>
      <c r="AW85" s="2">
        <f ca="1">RTD("ice.xl",,"*H",AW$4,AW$5,"",$AV85)</f>
        <v>58.63</v>
      </c>
      <c r="AX85" s="2">
        <f ca="1">RTD("ice.xl",,"*H",AW$4,AX$5,"",$AV85)</f>
        <v>2656096</v>
      </c>
      <c r="AY85" s="2" t="str">
        <f ca="1">RTD("ice.xl",,"*H",AW$4,AY$5,"",$AV85)</f>
        <v/>
      </c>
    </row>
    <row r="86" spans="48:51" x14ac:dyDescent="0.3">
      <c r="AV86" s="17">
        <f ca="1">RTD("ice.xl",,"*HT",_xll.FSJoinRange(AW4:AY4),"D[tl:Union]","300;6/27/2017","220")</f>
        <v>42800.291666666664</v>
      </c>
      <c r="AW86" s="2">
        <f ca="1">RTD("ice.xl",,"*H",AW$4,AW$5,"",$AV86)</f>
        <v>59.02</v>
      </c>
      <c r="AX86" s="2">
        <f ca="1">RTD("ice.xl",,"*H",AW$4,AX$5,"",$AV86)</f>
        <v>3646305</v>
      </c>
      <c r="AY86" s="2" t="str">
        <f ca="1">RTD("ice.xl",,"*H",AW$4,AY$5,"",$AV86)</f>
        <v/>
      </c>
    </row>
    <row r="87" spans="48:51" x14ac:dyDescent="0.3">
      <c r="AV87" s="17">
        <f ca="1">RTD("ice.xl",,"*HT",_xll.FSJoinRange(AW4:AY4),"D[tl:Union]","300;6/27/2017","219")</f>
        <v>42797.291666666664</v>
      </c>
      <c r="AW87" s="2">
        <f ca="1">RTD("ice.xl",,"*H",AW$4,AW$5,"",$AV87)</f>
        <v>58.74</v>
      </c>
      <c r="AX87" s="2">
        <f ca="1">RTD("ice.xl",,"*H",AW$4,AX$5,"",$AV87)</f>
        <v>2992025</v>
      </c>
      <c r="AY87" s="2" t="str">
        <f ca="1">RTD("ice.xl",,"*H",AW$4,AY$5,"",$AV87)</f>
        <v/>
      </c>
    </row>
    <row r="88" spans="48:51" x14ac:dyDescent="0.3">
      <c r="AV88" s="17">
        <f ca="1">RTD("ice.xl",,"*HT",_xll.FSJoinRange(AW4:AY4),"D[tl:Union]","300;6/27/2017","218")</f>
        <v>42796.291666666664</v>
      </c>
      <c r="AW88" s="2">
        <f ca="1">RTD("ice.xl",,"*H",AW$4,AW$5,"",$AV88)</f>
        <v>58.52</v>
      </c>
      <c r="AX88" s="2">
        <f ca="1">RTD("ice.xl",,"*H",AW$4,AX$5,"",$AV88)</f>
        <v>2981630</v>
      </c>
      <c r="AY88" s="2" t="str">
        <f ca="1">RTD("ice.xl",,"*H",AW$4,AY$5,"",$AV88)</f>
        <v/>
      </c>
    </row>
    <row r="89" spans="48:51" x14ac:dyDescent="0.3">
      <c r="AV89" s="17">
        <f ca="1">RTD("ice.xl",,"*HT",_xll.FSJoinRange(AW4:AY4),"D[tl:Union]","300;6/27/2017","217")</f>
        <v>42795.291666666664</v>
      </c>
      <c r="AW89" s="2">
        <f ca="1">RTD("ice.xl",,"*H",AW$4,AW$5,"",$AV89)</f>
        <v>58.93</v>
      </c>
      <c r="AX89" s="2">
        <f ca="1">RTD("ice.xl",,"*H",AW$4,AX$5,"",$AV89)</f>
        <v>3869230</v>
      </c>
      <c r="AY89" s="2" t="str">
        <f ca="1">RTD("ice.xl",,"*H",AW$4,AY$5,"",$AV89)</f>
        <v/>
      </c>
    </row>
    <row r="90" spans="48:51" x14ac:dyDescent="0.3">
      <c r="AV90" s="17">
        <f ca="1">RTD("ice.xl",,"*HT",_xll.FSJoinRange(AW4:AY4),"D[tl:Union]","300;6/27/2017","216")</f>
        <v>42794.291666666664</v>
      </c>
      <c r="AW90" s="2">
        <f ca="1">RTD("ice.xl",,"*H",AW$4,AW$5,"",$AV90)</f>
        <v>57.13</v>
      </c>
      <c r="AX90" s="2">
        <f ca="1">RTD("ice.xl",,"*H",AW$4,AX$5,"",$AV90)</f>
        <v>3392352</v>
      </c>
      <c r="AY90" s="2" t="str">
        <f ca="1">RTD("ice.xl",,"*H",AW$4,AY$5,"",$AV90)</f>
        <v/>
      </c>
    </row>
    <row r="91" spans="48:51" x14ac:dyDescent="0.3">
      <c r="AV91" s="17">
        <f ca="1">RTD("ice.xl",,"*HT",_xll.FSJoinRange(AW4:AY4),"D[tl:Union]","300;6/27/2017","215")</f>
        <v>42793.291666666664</v>
      </c>
      <c r="AW91" s="2">
        <f ca="1">RTD("ice.xl",,"*H",AW$4,AW$5,"",$AV91)</f>
        <v>57.7</v>
      </c>
      <c r="AX91" s="2">
        <f ca="1">RTD("ice.xl",,"*H",AW$4,AX$5,"",$AV91)</f>
        <v>3092191</v>
      </c>
      <c r="AY91" s="2" t="str">
        <f ca="1">RTD("ice.xl",,"*H",AW$4,AY$5,"",$AV91)</f>
        <v/>
      </c>
    </row>
    <row r="92" spans="48:51" x14ac:dyDescent="0.3">
      <c r="AV92" s="17">
        <f ca="1">RTD("ice.xl",,"*HT",_xll.FSJoinRange(AW4:AY4),"D[tl:Union]","300;6/27/2017","214")</f>
        <v>42790.291666666664</v>
      </c>
      <c r="AW92" s="2">
        <f ca="1">RTD("ice.xl",,"*H",AW$4,AW$5,"",$AV92)</f>
        <v>58.3</v>
      </c>
      <c r="AX92" s="2">
        <f ca="1">RTD("ice.xl",,"*H",AW$4,AX$5,"",$AV92)</f>
        <v>2026310</v>
      </c>
      <c r="AY92" s="2" t="str">
        <f ca="1">RTD("ice.xl",,"*H",AW$4,AY$5,"",$AV92)</f>
        <v/>
      </c>
    </row>
    <row r="93" spans="48:51" x14ac:dyDescent="0.3">
      <c r="AV93" s="17">
        <f ca="1">RTD("ice.xl",,"*HT",_xll.FSJoinRange(AW4:AY4),"D[tl:Union]","300;6/27/2017","213")</f>
        <v>42789.291666666664</v>
      </c>
      <c r="AW93" s="2">
        <f ca="1">RTD("ice.xl",,"*H",AW$4,AW$5,"",$AV93)</f>
        <v>58.11</v>
      </c>
      <c r="AX93" s="2">
        <f ca="1">RTD("ice.xl",,"*H",AW$4,AX$5,"",$AV93)</f>
        <v>2973783</v>
      </c>
      <c r="AY93" s="2" t="str">
        <f ca="1">RTD("ice.xl",,"*H",AW$4,AY$5,"",$AV93)</f>
        <v/>
      </c>
    </row>
    <row r="94" spans="48:51" x14ac:dyDescent="0.3">
      <c r="AV94" s="17">
        <f ca="1">RTD("ice.xl",,"*HT",_xll.FSJoinRange(AW4:AY4),"D[tl:Union]","300;6/27/2017","212")</f>
        <v>42788.291666666664</v>
      </c>
      <c r="AW94" s="2">
        <f ca="1">RTD("ice.xl",,"*H",AW$4,AW$5,"",$AV94)</f>
        <v>57.73</v>
      </c>
      <c r="AX94" s="2">
        <f ca="1">RTD("ice.xl",,"*H",AW$4,AX$5,"",$AV94)</f>
        <v>2784472</v>
      </c>
      <c r="AY94" s="2" t="str">
        <f ca="1">RTD("ice.xl",,"*H",AW$4,AY$5,"",$AV94)</f>
        <v/>
      </c>
    </row>
    <row r="95" spans="48:51" x14ac:dyDescent="0.3">
      <c r="AV95" s="17">
        <f ca="1">RTD("ice.xl",,"*HT",_xll.FSJoinRange(AW4:AY4),"D[tl:Union]","300;6/27/2017","211")</f>
        <v>42787.291666666664</v>
      </c>
      <c r="AW95" s="2">
        <f ca="1">RTD("ice.xl",,"*H",AW$4,AW$5,"",$AV95)</f>
        <v>57.96</v>
      </c>
      <c r="AX95" s="2">
        <f ca="1">RTD("ice.xl",,"*H",AW$4,AX$5,"",$AV95)</f>
        <v>3150487</v>
      </c>
      <c r="AY95" s="2" t="str">
        <f ca="1">RTD("ice.xl",,"*H",AW$4,AY$5,"",$AV95)</f>
        <v/>
      </c>
    </row>
    <row r="96" spans="48:51" x14ac:dyDescent="0.3">
      <c r="AV96" s="17">
        <f ca="1">RTD("ice.xl",,"*HT",_xll.FSJoinRange(AW4:AY4),"D[tl:Union]","300;6/27/2017","210")</f>
        <v>42783.291666666664</v>
      </c>
      <c r="AW96" s="2">
        <f ca="1">RTD("ice.xl",,"*H",AW$4,AW$5,"",$AV96)</f>
        <v>58.4</v>
      </c>
      <c r="AX96" s="2">
        <f ca="1">RTD("ice.xl",,"*H",AW$4,AX$5,"",$AV96)</f>
        <v>2962911</v>
      </c>
      <c r="AY96" s="2" t="str">
        <f ca="1">RTD("ice.xl",,"*H",AW$4,AY$5,"",$AV96)</f>
        <v/>
      </c>
    </row>
    <row r="97" spans="48:51" x14ac:dyDescent="0.3">
      <c r="AV97" s="17">
        <f ca="1">RTD("ice.xl",,"*HT",_xll.FSJoinRange(AW4:AY4),"D[tl:Union]","300;6/27/2017","209")</f>
        <v>42782.291666666664</v>
      </c>
      <c r="AW97" s="2">
        <f ca="1">RTD("ice.xl",,"*H",AW$4,AW$5,"",$AV97)</f>
        <v>58.65</v>
      </c>
      <c r="AX97" s="2">
        <f ca="1">RTD("ice.xl",,"*H",AW$4,AX$5,"",$AV97)</f>
        <v>1809433</v>
      </c>
      <c r="AY97" s="2" t="str">
        <f ca="1">RTD("ice.xl",,"*H",AW$4,AY$5,"",$AV97)</f>
        <v/>
      </c>
    </row>
    <row r="98" spans="48:51" x14ac:dyDescent="0.3">
      <c r="AV98" s="17">
        <f ca="1">RTD("ice.xl",,"*HT",_xll.FSJoinRange(AW4:AY4),"D[tl:Union]","300;6/27/2017","208")</f>
        <v>42781.291666666664</v>
      </c>
      <c r="AW98" s="2">
        <f ca="1">RTD("ice.xl",,"*H",AW$4,AW$5,"",$AV98)</f>
        <v>59.01</v>
      </c>
      <c r="AX98" s="2">
        <f ca="1">RTD("ice.xl",,"*H",AW$4,AX$5,"",$AV98)</f>
        <v>3397366</v>
      </c>
      <c r="AY98" s="2" t="str">
        <f ca="1">RTD("ice.xl",,"*H",AW$4,AY$5,"",$AV98)</f>
        <v/>
      </c>
    </row>
    <row r="99" spans="48:51" x14ac:dyDescent="0.3">
      <c r="AV99" s="17">
        <f ca="1">RTD("ice.xl",,"*HT",_xll.FSJoinRange(AW4:AY4),"D[tl:Union]","300;6/27/2017","207")</f>
        <v>42780.291666666664</v>
      </c>
      <c r="AW99" s="2">
        <f ca="1">RTD("ice.xl",,"*H",AW$4,AW$5,"",$AV99)</f>
        <v>58.65</v>
      </c>
      <c r="AX99" s="2">
        <f ca="1">RTD("ice.xl",,"*H",AW$4,AX$5,"",$AV99)</f>
        <v>2914943</v>
      </c>
      <c r="AY99" s="2" t="str">
        <f ca="1">RTD("ice.xl",,"*H",AW$4,AY$5,"",$AV99)</f>
        <v/>
      </c>
    </row>
    <row r="100" spans="48:51" x14ac:dyDescent="0.3">
      <c r="AV100" s="17">
        <f ca="1">RTD("ice.xl",,"*HT",_xll.FSJoinRange(AW4:AY4),"D[tl:Union]","300;6/27/2017","206")</f>
        <v>42779.291666666664</v>
      </c>
      <c r="AW100" s="2">
        <f ca="1">RTD("ice.xl",,"*H",AW$4,AW$5,"",$AV100)</f>
        <v>59.03</v>
      </c>
      <c r="AX100" s="2">
        <f ca="1">RTD("ice.xl",,"*H",AW$4,AX$5,"",$AV100)</f>
        <v>2558596</v>
      </c>
      <c r="AY100" s="2" t="str">
        <f ca="1">RTD("ice.xl",,"*H",AW$4,AY$5,"",$AV100)</f>
        <v/>
      </c>
    </row>
    <row r="101" spans="48:51" x14ac:dyDescent="0.3">
      <c r="AV101" s="17">
        <f ca="1">RTD("ice.xl",,"*HT",_xll.FSJoinRange(AW4:AY4),"D[tl:Union]","300;6/27/2017","205")</f>
        <v>42776.291666666664</v>
      </c>
      <c r="AW101" s="2">
        <f ca="1">RTD("ice.xl",,"*H",AW$4,AW$5,"",$AV101)</f>
        <v>57.65</v>
      </c>
      <c r="AX101" s="2">
        <f ca="1">RTD("ice.xl",,"*H",AW$4,AX$5,"",$AV101)</f>
        <v>2975157</v>
      </c>
      <c r="AY101" s="2" t="str">
        <f ca="1">RTD("ice.xl",,"*H",AW$4,AY$5,"",$AV101)</f>
        <v/>
      </c>
    </row>
    <row r="102" spans="48:51" x14ac:dyDescent="0.3">
      <c r="AV102" s="17">
        <f ca="1">RTD("ice.xl",,"*HT",_xll.FSJoinRange(AW4:AY4),"D[tl:Union]","300;6/27/2017","204")</f>
        <v>42775.291666666664</v>
      </c>
      <c r="AW102" s="2">
        <f ca="1">RTD("ice.xl",,"*H",AW$4,AW$5,"",$AV102)</f>
        <v>57.58</v>
      </c>
      <c r="AX102" s="2">
        <f ca="1">RTD("ice.xl",,"*H",AW$4,AX$5,"",$AV102)</f>
        <v>3657180</v>
      </c>
      <c r="AY102" s="2" t="str">
        <f ca="1">RTD("ice.xl",,"*H",AW$4,AY$5,"",$AV102)</f>
        <v/>
      </c>
    </row>
    <row r="103" spans="48:51" x14ac:dyDescent="0.3">
      <c r="AV103" s="17">
        <f ca="1">RTD("ice.xl",,"*HT",_xll.FSJoinRange(AW4:AY4),"D[tl:Union]","300;6/27/2017","203")</f>
        <v>42774.291666666664</v>
      </c>
      <c r="AW103" s="2">
        <f ca="1">RTD("ice.xl",,"*H",AW$4,AW$5,"",$AV103)</f>
        <v>57.04</v>
      </c>
      <c r="AX103" s="2">
        <f ca="1">RTD("ice.xl",,"*H",AW$4,AX$5,"",$AV103)</f>
        <v>5603496</v>
      </c>
      <c r="AY103" s="2" t="str">
        <f ca="1">RTD("ice.xl",,"*H",AW$4,AY$5,"",$AV103)</f>
        <v/>
      </c>
    </row>
    <row r="104" spans="48:51" x14ac:dyDescent="0.3">
      <c r="AV104" s="17">
        <f ca="1">RTD("ice.xl",,"*HT",_xll.FSJoinRange(AW4:AY4),"D[tl:Union]","300;6/27/2017","202")</f>
        <v>42773.291666666664</v>
      </c>
      <c r="AW104" s="2">
        <f ca="1">RTD("ice.xl",,"*H",AW$4,AW$5,"",$AV104)</f>
        <v>59.93</v>
      </c>
      <c r="AX104" s="2">
        <f ca="1">RTD("ice.xl",,"*H",AW$4,AX$5,"",$AV104)</f>
        <v>7162773</v>
      </c>
      <c r="AY104" s="2" t="str">
        <f ca="1">RTD("ice.xl",,"*H",AW$4,AY$5,"",$AV104)</f>
        <v/>
      </c>
    </row>
    <row r="105" spans="48:51" x14ac:dyDescent="0.3">
      <c r="AV105" s="17">
        <f ca="1">RTD("ice.xl",,"*HT",_xll.FSJoinRange(AW4:AY4),"D[tl:Union]","300;6/27/2017","201")</f>
        <v>42772.291666666664</v>
      </c>
      <c r="AW105" s="2">
        <f ca="1">RTD("ice.xl",,"*H",AW$4,AW$5,"",$AV105)</f>
        <v>58.51</v>
      </c>
      <c r="AX105" s="2">
        <f ca="1">RTD("ice.xl",,"*H",AW$4,AX$5,"",$AV105)</f>
        <v>2879846</v>
      </c>
      <c r="AY105" s="2" t="str">
        <f ca="1">RTD("ice.xl",,"*H",AW$4,AY$5,"",$AV105)</f>
        <v/>
      </c>
    </row>
    <row r="106" spans="48:51" x14ac:dyDescent="0.3">
      <c r="AV106" s="17">
        <f ca="1">RTD("ice.xl",,"*HT",_xll.FSJoinRange(AW4:AY4),"D[tl:Union]","300;6/27/2017","200")</f>
        <v>42769.291666666664</v>
      </c>
      <c r="AW106" s="2">
        <f ca="1">RTD("ice.xl",,"*H",AW$4,AW$5,"",$AV106)</f>
        <v>58.54</v>
      </c>
      <c r="AX106" s="2">
        <f ca="1">RTD("ice.xl",,"*H",AW$4,AX$5,"",$AV106)</f>
        <v>3092586</v>
      </c>
      <c r="AY106" s="2" t="str">
        <f ca="1">RTD("ice.xl",,"*H",AW$4,AY$5,"",$AV106)</f>
        <v/>
      </c>
    </row>
    <row r="107" spans="48:51" x14ac:dyDescent="0.3">
      <c r="AV107" s="17">
        <f ca="1">RTD("ice.xl",,"*HT",_xll.FSJoinRange(AW4:AY4),"D[tl:Union]","300;6/27/2017","199")</f>
        <v>42768.291666666664</v>
      </c>
      <c r="AW107" s="2">
        <f ca="1">RTD("ice.xl",,"*H",AW$4,AW$5,"",$AV107)</f>
        <v>58.39</v>
      </c>
      <c r="AX107" s="2">
        <f ca="1">RTD("ice.xl",,"*H",AW$4,AX$5,"",$AV107)</f>
        <v>3733279</v>
      </c>
      <c r="AY107" s="2" t="str">
        <f ca="1">RTD("ice.xl",,"*H",AW$4,AY$5,"",$AV107)</f>
        <v/>
      </c>
    </row>
    <row r="108" spans="48:51" x14ac:dyDescent="0.3">
      <c r="AV108" s="17">
        <f ca="1">RTD("ice.xl",,"*HT",_xll.FSJoinRange(AW4:AY4),"D[tl:Union]","300;6/27/2017","198")</f>
        <v>42767.291666666664</v>
      </c>
      <c r="AW108" s="2">
        <f ca="1">RTD("ice.xl",,"*H",AW$4,AW$5,"",$AV108)</f>
        <v>58.35</v>
      </c>
      <c r="AX108" s="2">
        <f ca="1">RTD("ice.xl",,"*H",AW$4,AX$5,"",$AV108)</f>
        <v>2952113</v>
      </c>
      <c r="AY108" s="2" t="str">
        <f ca="1">RTD("ice.xl",,"*H",AW$4,AY$5,"",$AV108)</f>
        <v/>
      </c>
    </row>
    <row r="109" spans="48:51" x14ac:dyDescent="0.3">
      <c r="AV109" s="17">
        <f ca="1">RTD("ice.xl",,"*HT",_xll.FSJoinRange(AW4:AY4),"D[tl:Union]","300;6/27/2017","197")</f>
        <v>42766.291666666664</v>
      </c>
      <c r="AW109" s="2">
        <f ca="1">RTD("ice.xl",,"*H",AW$4,AW$5,"",$AV109)</f>
        <v>58.36</v>
      </c>
      <c r="AX109" s="2">
        <f ca="1">RTD("ice.xl",,"*H",AW$4,AX$5,"",$AV109)</f>
        <v>2458370</v>
      </c>
      <c r="AY109" s="2" t="str">
        <f ca="1">RTD("ice.xl",,"*H",AW$4,AY$5,"",$AV109)</f>
        <v/>
      </c>
    </row>
    <row r="110" spans="48:51" x14ac:dyDescent="0.3">
      <c r="AV110" s="17">
        <f ca="1">RTD("ice.xl",,"*HT",_xll.FSJoinRange(AW4:AY4),"D[tl:Union]","300;6/27/2017","196")</f>
        <v>42765.291666666664</v>
      </c>
      <c r="AW110" s="2">
        <f ca="1">RTD("ice.xl",,"*H",AW$4,AW$5,"",$AV110)</f>
        <v>57.94</v>
      </c>
      <c r="AX110" s="2">
        <f ca="1">RTD("ice.xl",,"*H",AW$4,AX$5,"",$AV110)</f>
        <v>1309474</v>
      </c>
      <c r="AY110" s="2" t="str">
        <f ca="1">RTD("ice.xl",,"*H",AW$4,AY$5,"",$AV110)</f>
        <v/>
      </c>
    </row>
    <row r="111" spans="48:51" x14ac:dyDescent="0.3">
      <c r="AV111" s="17">
        <f ca="1">RTD("ice.xl",,"*HT",_xll.FSJoinRange(AW4:AY4),"D[tl:Union]","300;6/27/2017","195")</f>
        <v>42762.291666666664</v>
      </c>
      <c r="AW111" s="2">
        <f ca="1">RTD("ice.xl",,"*H",AW$4,AW$5,"",$AV111)</f>
        <v>57.88</v>
      </c>
      <c r="AX111" s="2">
        <f ca="1">RTD("ice.xl",,"*H",AW$4,AX$5,"",$AV111)</f>
        <v>1309195</v>
      </c>
      <c r="AY111" s="2" t="str">
        <f ca="1">RTD("ice.xl",,"*H",AW$4,AY$5,"",$AV111)</f>
        <v/>
      </c>
    </row>
    <row r="112" spans="48:51" x14ac:dyDescent="0.3">
      <c r="AV112" s="17">
        <f ca="1">RTD("ice.xl",,"*HT",_xll.FSJoinRange(AW4:AY4),"D[tl:Union]","300;6/27/2017","194")</f>
        <v>42761.291666666664</v>
      </c>
      <c r="AW112" s="2">
        <f ca="1">RTD("ice.xl",,"*H",AW$4,AW$5,"",$AV112)</f>
        <v>58.17</v>
      </c>
      <c r="AX112" s="2">
        <f ca="1">RTD("ice.xl",,"*H",AW$4,AX$5,"",$AV112)</f>
        <v>1927582</v>
      </c>
      <c r="AY112" s="2" t="str">
        <f ca="1">RTD("ice.xl",,"*H",AW$4,AY$5,"",$AV112)</f>
        <v/>
      </c>
    </row>
    <row r="113" spans="48:51" x14ac:dyDescent="0.3">
      <c r="AV113" s="17">
        <f ca="1">RTD("ice.xl",,"*HT",_xll.FSJoinRange(AW4:AY4),"D[tl:Union]","300;6/27/2017","193")</f>
        <v>42760.291666666664</v>
      </c>
      <c r="AW113" s="2">
        <f ca="1">RTD("ice.xl",,"*H",AW$4,AW$5,"",$AV113)</f>
        <v>57.96</v>
      </c>
      <c r="AX113" s="2">
        <f ca="1">RTD("ice.xl",,"*H",AW$4,AX$5,"",$AV113)</f>
        <v>2531883</v>
      </c>
      <c r="AY113" s="2" t="str">
        <f ca="1">RTD("ice.xl",,"*H",AW$4,AY$5,"",$AV113)</f>
        <v/>
      </c>
    </row>
    <row r="114" spans="48:51" x14ac:dyDescent="0.3">
      <c r="AV114" s="17">
        <f ca="1">RTD("ice.xl",,"*HT",_xll.FSJoinRange(AW4:AY4),"D[tl:Union]","300;6/27/2017","192")</f>
        <v>42759.291666666664</v>
      </c>
      <c r="AW114" s="2">
        <f ca="1">RTD("ice.xl",,"*H",AW$4,AW$5,"",$AV114)</f>
        <v>57.46</v>
      </c>
      <c r="AX114" s="2">
        <f ca="1">RTD("ice.xl",,"*H",AW$4,AX$5,"",$AV114)</f>
        <v>1701609</v>
      </c>
      <c r="AY114" s="2" t="str">
        <f ca="1">RTD("ice.xl",,"*H",AW$4,AY$5,"",$AV114)</f>
        <v/>
      </c>
    </row>
    <row r="115" spans="48:51" x14ac:dyDescent="0.3">
      <c r="AV115" s="17">
        <f ca="1">RTD("ice.xl",,"*HT",_xll.FSJoinRange(AW4:AY4),"D[tl:Union]","300;6/27/2017","191")</f>
        <v>42758.291666666664</v>
      </c>
      <c r="AW115" s="2">
        <f ca="1">RTD("ice.xl",,"*H",AW$4,AW$5,"",$AV115)</f>
        <v>56.84</v>
      </c>
      <c r="AX115" s="2">
        <f ca="1">RTD("ice.xl",,"*H",AW$4,AX$5,"",$AV115)</f>
        <v>1545761</v>
      </c>
      <c r="AY115" s="2" t="str">
        <f ca="1">RTD("ice.xl",,"*H",AW$4,AY$5,"",$AV115)</f>
        <v/>
      </c>
    </row>
    <row r="116" spans="48:51" x14ac:dyDescent="0.3">
      <c r="AV116" s="17">
        <f ca="1">RTD("ice.xl",,"*HT",_xll.FSJoinRange(AW4:AY4),"D[tl:Union]","300;6/27/2017","190")</f>
        <v>42755.291666666664</v>
      </c>
      <c r="AW116" s="2">
        <f ca="1">RTD("ice.xl",,"*H",AW$4,AW$5,"",$AV116)</f>
        <v>57.4</v>
      </c>
      <c r="AX116" s="2">
        <f ca="1">RTD("ice.xl",,"*H",AW$4,AX$5,"",$AV116)</f>
        <v>2001840</v>
      </c>
      <c r="AY116" s="2" t="str">
        <f ca="1">RTD("ice.xl",,"*H",AW$4,AY$5,"",$AV116)</f>
        <v/>
      </c>
    </row>
    <row r="117" spans="48:51" x14ac:dyDescent="0.3">
      <c r="AV117" s="17">
        <f ca="1">RTD("ice.xl",,"*HT",_xll.FSJoinRange(AW4:AY4),"D[tl:Union]","300;6/27/2017","189")</f>
        <v>42754.291666666664</v>
      </c>
      <c r="AW117" s="2">
        <f ca="1">RTD("ice.xl",,"*H",AW$4,AW$5,"",$AV117)</f>
        <v>56.96</v>
      </c>
      <c r="AX117" s="2">
        <f ca="1">RTD("ice.xl",,"*H",AW$4,AX$5,"",$AV117)</f>
        <v>1887362</v>
      </c>
      <c r="AY117" s="2" t="str">
        <f ca="1">RTD("ice.xl",,"*H",AW$4,AY$5,"",$AV117)</f>
        <v/>
      </c>
    </row>
    <row r="118" spans="48:51" x14ac:dyDescent="0.3">
      <c r="AV118" s="17">
        <f ca="1">RTD("ice.xl",,"*HT",_xll.FSJoinRange(AW4:AY4),"D[tl:Union]","300;6/27/2017","188")</f>
        <v>42753.291666666664</v>
      </c>
      <c r="AW118" s="2">
        <f ca="1">RTD("ice.xl",,"*H",AW$4,AW$5,"",$AV118)</f>
        <v>57.31</v>
      </c>
      <c r="AX118" s="2">
        <f ca="1">RTD("ice.xl",,"*H",AW$4,AX$5,"",$AV118)</f>
        <v>2072860</v>
      </c>
      <c r="AY118" s="2" t="str">
        <f ca="1">RTD("ice.xl",,"*H",AW$4,AY$5,"",$AV118)</f>
        <v/>
      </c>
    </row>
    <row r="119" spans="48:51" x14ac:dyDescent="0.3">
      <c r="AV119" s="17">
        <f ca="1">RTD("ice.xl",,"*HT",_xll.FSJoinRange(AW4:AY4),"D[tl:Union]","300;6/27/2017","187")</f>
        <v>42752.291666666664</v>
      </c>
      <c r="AW119" s="2">
        <f ca="1">RTD("ice.xl",,"*H",AW$4,AW$5,"",$AV119)</f>
        <v>56.46</v>
      </c>
      <c r="AX119" s="2">
        <f ca="1">RTD("ice.xl",,"*H",AW$4,AX$5,"",$AV119)</f>
        <v>1998509</v>
      </c>
      <c r="AY119" s="2" t="str">
        <f ca="1">RTD("ice.xl",,"*H",AW$4,AY$5,"",$AV119)</f>
        <v/>
      </c>
    </row>
    <row r="120" spans="48:51" x14ac:dyDescent="0.3">
      <c r="AV120" s="17">
        <f ca="1">RTD("ice.xl",,"*HT",_xll.FSJoinRange(AW4:AY4),"D[tl:Union]","300;6/27/2017","186")</f>
        <v>42748.291666666664</v>
      </c>
      <c r="AW120" s="2">
        <f ca="1">RTD("ice.xl",,"*H",AW$4,AW$5,"",$AV120)</f>
        <v>56.83</v>
      </c>
      <c r="AX120" s="2">
        <f ca="1">RTD("ice.xl",,"*H",AW$4,AX$5,"",$AV120)</f>
        <v>1963286</v>
      </c>
      <c r="AY120" s="2" t="str">
        <f ca="1">RTD("ice.xl",,"*H",AW$4,AY$5,"",$AV120)</f>
        <v/>
      </c>
    </row>
    <row r="121" spans="48:51" x14ac:dyDescent="0.3">
      <c r="AV121" s="17">
        <f ca="1">RTD("ice.xl",,"*HT",_xll.FSJoinRange(AW4:AY4),"D[tl:Union]","300;6/27/2017","185")</f>
        <v>42747.291666666664</v>
      </c>
      <c r="AW121" s="2">
        <f ca="1">RTD("ice.xl",,"*H",AW$4,AW$5,"",$AV121)</f>
        <v>56.72</v>
      </c>
      <c r="AX121" s="2">
        <f ca="1">RTD("ice.xl",,"*H",AW$4,AX$5,"",$AV121)</f>
        <v>4289626</v>
      </c>
      <c r="AY121" s="2" t="str">
        <f ca="1">RTD("ice.xl",,"*H",AW$4,AY$5,"",$AV121)</f>
        <v/>
      </c>
    </row>
    <row r="122" spans="48:51" x14ac:dyDescent="0.3">
      <c r="AV122" s="17">
        <f ca="1">RTD("ice.xl",,"*HT",_xll.FSJoinRange(AW4:AY4),"D[tl:Union]","300;6/27/2017","184")</f>
        <v>42746.291666666664</v>
      </c>
      <c r="AW122" s="2">
        <f ca="1">RTD("ice.xl",,"*H",AW$4,AW$5,"",$AV122)</f>
        <v>56.84</v>
      </c>
      <c r="AX122" s="2">
        <f ca="1">RTD("ice.xl",,"*H",AW$4,AX$5,"",$AV122)</f>
        <v>3852066</v>
      </c>
      <c r="AY122" s="2" t="str">
        <f ca="1">RTD("ice.xl",,"*H",AW$4,AY$5,"",$AV122)</f>
        <v/>
      </c>
    </row>
    <row r="123" spans="48:51" x14ac:dyDescent="0.3">
      <c r="AV123" s="17">
        <f ca="1">RTD("ice.xl",,"*HT",_xll.FSJoinRange(AW4:AY4),"D[tl:Union]","300;6/27/2017","183")</f>
        <v>42745.291666666664</v>
      </c>
      <c r="AW123" s="2">
        <f ca="1">RTD("ice.xl",,"*H",AW$4,AW$5,"",$AV123)</f>
        <v>56.77</v>
      </c>
      <c r="AX123" s="2">
        <f ca="1">RTD("ice.xl",,"*H",AW$4,AX$5,"",$AV123)</f>
        <v>1647109</v>
      </c>
      <c r="AY123" s="2" t="str">
        <f ca="1">RTD("ice.xl",,"*H",AW$4,AY$5,"",$AV123)</f>
        <v/>
      </c>
    </row>
    <row r="124" spans="48:51" x14ac:dyDescent="0.3">
      <c r="AV124" s="17">
        <f ca="1">RTD("ice.xl",,"*HT",_xll.FSJoinRange(AW4:AY4),"D[tl:Union]","300;6/27/2017","182")</f>
        <v>42744.291666666664</v>
      </c>
      <c r="AW124" s="2">
        <f ca="1">RTD("ice.xl",,"*H",AW$4,AW$5,"",$AV124)</f>
        <v>57.02</v>
      </c>
      <c r="AX124" s="2">
        <f ca="1">RTD("ice.xl",,"*H",AW$4,AX$5,"",$AV124)</f>
        <v>1472093</v>
      </c>
      <c r="AY124" s="2" t="str">
        <f ca="1">RTD("ice.xl",,"*H",AW$4,AY$5,"",$AV124)</f>
        <v/>
      </c>
    </row>
    <row r="125" spans="48:51" x14ac:dyDescent="0.3">
      <c r="AV125" s="17">
        <f ca="1">RTD("ice.xl",,"*HT",_xll.FSJoinRange(AW4:AY4),"D[tl:Union]","300;6/27/2017","181")</f>
        <v>42741.291666666664</v>
      </c>
      <c r="AW125" s="2">
        <f ca="1">RTD("ice.xl",,"*H",AW$4,AW$5,"",$AV125)</f>
        <v>57.34</v>
      </c>
      <c r="AX125" s="2">
        <f ca="1">RTD("ice.xl",,"*H",AW$4,AX$5,"",$AV125)</f>
        <v>1490113</v>
      </c>
      <c r="AY125" s="2" t="str">
        <f ca="1">RTD("ice.xl",,"*H",AW$4,AY$5,"",$AV125)</f>
        <v/>
      </c>
    </row>
    <row r="126" spans="48:51" x14ac:dyDescent="0.3">
      <c r="AV126" s="17">
        <f ca="1">RTD("ice.xl",,"*HT",_xll.FSJoinRange(AW4:AY4),"D[tl:Union]","300;6/27/2017","180")</f>
        <v>42740.291666666664</v>
      </c>
      <c r="AW126" s="2">
        <f ca="1">RTD("ice.xl",,"*H",AW$4,AW$5,"",$AV126)</f>
        <v>56.97</v>
      </c>
      <c r="AX126" s="2">
        <f ca="1">RTD("ice.xl",,"*H",AW$4,AX$5,"",$AV126)</f>
        <v>1636823</v>
      </c>
      <c r="AY126" s="2" t="str">
        <f ca="1">RTD("ice.xl",,"*H",AW$4,AY$5,"",$AV126)</f>
        <v/>
      </c>
    </row>
    <row r="127" spans="48:51" x14ac:dyDescent="0.3">
      <c r="AV127" s="17">
        <f ca="1">RTD("ice.xl",,"*HT",_xll.FSJoinRange(AW4:AY4),"D[tl:Union]","300;6/27/2017","179")</f>
        <v>42739.291666666664</v>
      </c>
      <c r="AW127" s="2">
        <f ca="1">RTD("ice.xl",,"*H",AW$4,AW$5,"",$AV127)</f>
        <v>57.21</v>
      </c>
      <c r="AX127" s="2">
        <f ca="1">RTD("ice.xl",,"*H",AW$4,AX$5,"",$AV127)</f>
        <v>3074938</v>
      </c>
      <c r="AY127" s="2" t="str">
        <f ca="1">RTD("ice.xl",,"*H",AW$4,AY$5,"",$AV127)</f>
        <v/>
      </c>
    </row>
    <row r="128" spans="48:51" x14ac:dyDescent="0.3">
      <c r="AV128" s="17">
        <f ca="1">RTD("ice.xl",,"*HT",_xll.FSJoinRange(AW4:AY4),"D[tl:Union]","300;6/27/2017","178")</f>
        <v>42738.291666666664</v>
      </c>
      <c r="AW128" s="2">
        <f ca="1">RTD("ice.xl",,"*H",AW$4,AW$5,"",$AV128)</f>
        <v>56.22</v>
      </c>
      <c r="AX128" s="2">
        <f ca="1">RTD("ice.xl",,"*H",AW$4,AX$5,"",$AV128)</f>
        <v>2595463</v>
      </c>
      <c r="AY128" s="2" t="str">
        <f ca="1">RTD("ice.xl",,"*H",AW$4,AY$5,"",$AV128)</f>
        <v/>
      </c>
    </row>
    <row r="129" spans="48:51" x14ac:dyDescent="0.3">
      <c r="AV129" s="17">
        <f ca="1">RTD("ice.xl",,"*HT",_xll.FSJoinRange(AW4:AY4),"D[tl:Union]","300;6/27/2017","177")</f>
        <v>42734.291666666664</v>
      </c>
      <c r="AW129" s="2">
        <f ca="1">RTD("ice.xl",,"*H",AW$4,AW$5,"",$AV129)</f>
        <v>56.42</v>
      </c>
      <c r="AX129" s="2">
        <f ca="1">RTD("ice.xl",,"*H",AW$4,AX$5,"",$AV129)</f>
        <v>1844386</v>
      </c>
      <c r="AY129" s="2" t="str">
        <f ca="1">RTD("ice.xl",,"*H",AW$4,AY$5,"",$AV129)</f>
        <v/>
      </c>
    </row>
    <row r="130" spans="48:51" x14ac:dyDescent="0.3">
      <c r="AV130" s="17">
        <f ca="1">RTD("ice.xl",,"*HT",_xll.FSJoinRange(AW4:AY4),"D[tl:Union]","300;6/27/2017","176")</f>
        <v>42733.291666666664</v>
      </c>
      <c r="AW130" s="2">
        <f ca="1">RTD("ice.xl",,"*H",AW$4,AW$5,"",$AV130)</f>
        <v>56.49</v>
      </c>
      <c r="AX130" s="2">
        <f ca="1">RTD("ice.xl",,"*H",AW$4,AX$5,"",$AV130)</f>
        <v>1156580</v>
      </c>
      <c r="AY130" s="2" t="str">
        <f ca="1">RTD("ice.xl",,"*H",AW$4,AY$5,"",$AV130)</f>
        <v/>
      </c>
    </row>
    <row r="131" spans="48:51" x14ac:dyDescent="0.3">
      <c r="AV131" s="17">
        <f ca="1">RTD("ice.xl",,"*HT",_xll.FSJoinRange(AW4:AY4),"D[tl:Union]","300;6/27/2017","175")</f>
        <v>42732.291666666664</v>
      </c>
      <c r="AW131" s="2">
        <f ca="1">RTD("ice.xl",,"*H",AW$4,AW$5,"",$AV131)</f>
        <v>56.65</v>
      </c>
      <c r="AX131" s="2">
        <f ca="1">RTD("ice.xl",,"*H",AW$4,AX$5,"",$AV131)</f>
        <v>1375456</v>
      </c>
      <c r="AY131" s="2" t="str">
        <f ca="1">RTD("ice.xl",,"*H",AW$4,AY$5,"",$AV131)</f>
        <v/>
      </c>
    </row>
    <row r="132" spans="48:51" x14ac:dyDescent="0.3">
      <c r="AV132" s="17">
        <f ca="1">RTD("ice.xl",,"*HT",_xll.FSJoinRange(AW4:AY4),"D[tl:Union]","300;6/27/2017","174")</f>
        <v>42731.291666666664</v>
      </c>
      <c r="AW132" s="2">
        <f ca="1">RTD("ice.xl",,"*H",AW$4,AW$5,"",$AV132)</f>
        <v>57.28</v>
      </c>
      <c r="AX132" s="2">
        <f ca="1">RTD("ice.xl",,"*H",AW$4,AX$5,"",$AV132)</f>
        <v>1092987</v>
      </c>
      <c r="AY132" s="2" t="str">
        <f ca="1">RTD("ice.xl",,"*H",AW$4,AY$5,"",$AV132)</f>
        <v/>
      </c>
    </row>
    <row r="133" spans="48:51" x14ac:dyDescent="0.3">
      <c r="AV133" s="17">
        <f ca="1">RTD("ice.xl",,"*HT",_xll.FSJoinRange(AW4:AY4),"D[tl:Union]","300;6/27/2017","173")</f>
        <v>42727.291666666664</v>
      </c>
      <c r="AW133" s="2">
        <f ca="1">RTD("ice.xl",,"*H",AW$4,AW$5,"",$AV133)</f>
        <v>56.82</v>
      </c>
      <c r="AX133" s="2">
        <f ca="1">RTD("ice.xl",,"*H",AW$4,AX$5,"",$AV133)</f>
        <v>1830897</v>
      </c>
      <c r="AY133" s="2" t="str">
        <f ca="1">RTD("ice.xl",,"*H",AW$4,AY$5,"",$AV133)</f>
        <v/>
      </c>
    </row>
    <row r="134" spans="48:51" x14ac:dyDescent="0.3">
      <c r="AV134" s="17">
        <f ca="1">RTD("ice.xl",,"*HT",_xll.FSJoinRange(AW4:AY4),"D[tl:Union]","300;6/27/2017","172")</f>
        <v>42726.291666666664</v>
      </c>
      <c r="AW134" s="2">
        <f ca="1">RTD("ice.xl",,"*H",AW$4,AW$5,"",$AV134)</f>
        <v>57.28</v>
      </c>
      <c r="AX134" s="2">
        <f ca="1">RTD("ice.xl",,"*H",AW$4,AX$5,"",$AV134)</f>
        <v>1682319</v>
      </c>
      <c r="AY134" s="2" t="str">
        <f ca="1">RTD("ice.xl",,"*H",AW$4,AY$5,"",$AV134)</f>
        <v/>
      </c>
    </row>
    <row r="135" spans="48:51" x14ac:dyDescent="0.3">
      <c r="AV135" s="17">
        <f ca="1">RTD("ice.xl",,"*HT",_xll.FSJoinRange(AW4:AY4),"D[tl:Union]","300;6/27/2017","171")</f>
        <v>42725.291666666664</v>
      </c>
      <c r="AW135" s="2">
        <f ca="1">RTD("ice.xl",,"*H",AW$4,AW$5,"",$AV135)</f>
        <v>57.33</v>
      </c>
      <c r="AX135" s="2">
        <f ca="1">RTD("ice.xl",,"*H",AW$4,AX$5,"",$AV135)</f>
        <v>1759955</v>
      </c>
      <c r="AY135" s="2" t="str">
        <f ca="1">RTD("ice.xl",,"*H",AW$4,AY$5,"",$AV135)</f>
        <v/>
      </c>
    </row>
    <row r="136" spans="48:51" x14ac:dyDescent="0.3">
      <c r="AV136" s="17">
        <f ca="1">RTD("ice.xl",,"*HT",_xll.FSJoinRange(AW4:AY4),"D[tl:Union]","300;6/27/2017","170")</f>
        <v>42724.291666666664</v>
      </c>
      <c r="AW136" s="2">
        <f ca="1">RTD("ice.xl",,"*H",AW$4,AW$5,"",$AV136)</f>
        <v>58.07</v>
      </c>
      <c r="AX136" s="2">
        <f ca="1">RTD("ice.xl",,"*H",AW$4,AX$5,"",$AV136)</f>
        <v>2291374</v>
      </c>
      <c r="AY136" s="2" t="str">
        <f ca="1">RTD("ice.xl",,"*H",AW$4,AY$5,"",$AV136)</f>
        <v/>
      </c>
    </row>
    <row r="137" spans="48:51" x14ac:dyDescent="0.3">
      <c r="AV137" s="17">
        <f ca="1">RTD("ice.xl",,"*HT",_xll.FSJoinRange(AW4:AY4),"D[tl:Union]","300;6/27/2017","169")</f>
        <v>42723.291666666664</v>
      </c>
      <c r="AW137" s="2">
        <f ca="1">RTD("ice.xl",,"*H",AW$4,AW$5,"",$AV137)</f>
        <v>57.66</v>
      </c>
      <c r="AX137" s="2">
        <f ca="1">RTD("ice.xl",,"*H",AW$4,AX$5,"",$AV137)</f>
        <v>2667354</v>
      </c>
      <c r="AY137" s="2" t="str">
        <f ca="1">RTD("ice.xl",,"*H",AW$4,AY$5,"",$AV137)</f>
        <v/>
      </c>
    </row>
    <row r="138" spans="48:51" x14ac:dyDescent="0.3">
      <c r="AV138" s="17">
        <f ca="1">RTD("ice.xl",,"*HT",_xll.FSJoinRange(AW4:AY4),"D[tl:Union]","300;6/27/2017","168")</f>
        <v>42720.291666666664</v>
      </c>
      <c r="AW138" s="2">
        <f ca="1">RTD("ice.xl",,"*H",AW$4,AW$5,"",$AV138)</f>
        <v>57.92</v>
      </c>
      <c r="AX138" s="2">
        <f ca="1">RTD("ice.xl",,"*H",AW$4,AX$5,"",$AV138)</f>
        <v>4929146</v>
      </c>
      <c r="AY138" s="2" t="str">
        <f ca="1">RTD("ice.xl",,"*H",AW$4,AY$5,"",$AV138)</f>
        <v/>
      </c>
    </row>
    <row r="139" spans="48:51" x14ac:dyDescent="0.3">
      <c r="AV139" s="17">
        <f ca="1">RTD("ice.xl",,"*HT",_xll.FSJoinRange(AW4:AY4),"D[tl:Union]","300;6/27/2017","167")</f>
        <v>42719.291666666664</v>
      </c>
      <c r="AW139" s="2">
        <f ca="1">RTD("ice.xl",,"*H",AW$4,AW$5,"",$AV139)</f>
        <v>58.33</v>
      </c>
      <c r="AX139" s="2">
        <f ca="1">RTD("ice.xl",,"*H",AW$4,AX$5,"",$AV139)</f>
        <v>3688645</v>
      </c>
      <c r="AY139" s="2" t="str">
        <f ca="1">RTD("ice.xl",,"*H",AW$4,AY$5,"",$AV139)</f>
        <v/>
      </c>
    </row>
    <row r="140" spans="48:51" x14ac:dyDescent="0.3">
      <c r="AV140" s="17">
        <f ca="1">RTD("ice.xl",,"*HT",_xll.FSJoinRange(AW4:AY4),"D[tl:Union]","300;6/27/2017","166")</f>
        <v>42718.291666666664</v>
      </c>
      <c r="AW140" s="2">
        <f ca="1">RTD("ice.xl",,"*H",AW$4,AW$5,"",$AV140)</f>
        <v>58.37</v>
      </c>
      <c r="AX140" s="2">
        <f ca="1">RTD("ice.xl",,"*H",AW$4,AX$5,"",$AV140)</f>
        <v>4929257</v>
      </c>
      <c r="AY140" s="2" t="str">
        <f ca="1">RTD("ice.xl",,"*H",AW$4,AY$5,"",$AV140)</f>
        <v/>
      </c>
    </row>
    <row r="141" spans="48:51" x14ac:dyDescent="0.3">
      <c r="AV141" s="17">
        <f ca="1">RTD("ice.xl",,"*HT",_xll.FSJoinRange(AW4:AY4),"D[tl:Union]","300;6/27/2017","165")</f>
        <v>42717.291666666664</v>
      </c>
      <c r="AW141" s="2">
        <f ca="1">RTD("ice.xl",,"*H",AW$4,AW$5,"",$AV141)</f>
        <v>59.41</v>
      </c>
      <c r="AX141" s="2">
        <f ca="1">RTD("ice.xl",,"*H",AW$4,AX$5,"",$AV141)</f>
        <v>1970952</v>
      </c>
      <c r="AY141" s="2" t="str">
        <f ca="1">RTD("ice.xl",,"*H",AW$4,AY$5,"",$AV141)</f>
        <v/>
      </c>
    </row>
    <row r="142" spans="48:51" x14ac:dyDescent="0.3">
      <c r="AV142" s="17">
        <f ca="1">RTD("ice.xl",,"*HT",_xll.FSJoinRange(AW4:AY4),"D[tl:Union]","300;6/27/2017","164")</f>
        <v>42716.291666666664</v>
      </c>
      <c r="AW142" s="2">
        <f ca="1">RTD("ice.xl",,"*H",AW$4,AW$5,"",$AV142)</f>
        <v>59.59</v>
      </c>
      <c r="AX142" s="2">
        <f ca="1">RTD("ice.xl",,"*H",AW$4,AX$5,"",$AV142)</f>
        <v>3461209</v>
      </c>
      <c r="AY142" s="2" t="str">
        <f ca="1">RTD("ice.xl",,"*H",AW$4,AY$5,"",$AV142)</f>
        <v/>
      </c>
    </row>
    <row r="143" spans="48:51" x14ac:dyDescent="0.3">
      <c r="AV143" s="17">
        <f ca="1">RTD("ice.xl",,"*HT",_xll.FSJoinRange(AW4:AY4),"D[tl:Union]","300;6/27/2017","163")</f>
        <v>42713.291666666664</v>
      </c>
      <c r="AW143" s="2">
        <f ca="1">RTD("ice.xl",,"*H",AW$4,AW$5,"",$AV143)</f>
        <v>59.66</v>
      </c>
      <c r="AX143" s="2">
        <f ca="1">RTD("ice.xl",,"*H",AW$4,AX$5,"",$AV143)</f>
        <v>2170533</v>
      </c>
      <c r="AY143" s="2" t="str">
        <f ca="1">RTD("ice.xl",,"*H",AW$4,AY$5,"",$AV143)</f>
        <v/>
      </c>
    </row>
    <row r="144" spans="48:51" x14ac:dyDescent="0.3">
      <c r="AV144" s="17">
        <f ca="1">RTD("ice.xl",,"*HT",_xll.FSJoinRange(AW4:AY4),"D[tl:Union]","300;6/27/2017","162")</f>
        <v>42712.291666666664</v>
      </c>
      <c r="AW144" s="2">
        <f ca="1">RTD("ice.xl",,"*H",AW$4,AW$5,"",$AV144)</f>
        <v>59.46</v>
      </c>
      <c r="AX144" s="2">
        <f ca="1">RTD("ice.xl",,"*H",AW$4,AX$5,"",$AV144)</f>
        <v>3234279</v>
      </c>
      <c r="AY144" s="2" t="str">
        <f ca="1">RTD("ice.xl",,"*H",AW$4,AY$5,"",$AV144)</f>
        <v/>
      </c>
    </row>
    <row r="145" spans="48:51" x14ac:dyDescent="0.3">
      <c r="AV145" s="17">
        <f ca="1">RTD("ice.xl",,"*HT",_xll.FSJoinRange(AW4:AY4),"D[tl:Union]","300;6/27/2017","161")</f>
        <v>42711.291666666664</v>
      </c>
      <c r="AW145" s="2">
        <f ca="1">RTD("ice.xl",,"*H",AW$4,AW$5,"",$AV145)</f>
        <v>59.08</v>
      </c>
      <c r="AX145" s="2">
        <f ca="1">RTD("ice.xl",,"*H",AW$4,AX$5,"",$AV145)</f>
        <v>4086555</v>
      </c>
      <c r="AY145" s="2" t="str">
        <f ca="1">RTD("ice.xl",,"*H",AW$4,AY$5,"",$AV145)</f>
        <v/>
      </c>
    </row>
    <row r="146" spans="48:51" x14ac:dyDescent="0.3">
      <c r="AV146" s="17">
        <f ca="1">RTD("ice.xl",,"*HT",_xll.FSJoinRange(AW4:AY4),"D[tl:Union]","300;6/27/2017","160")</f>
        <v>42710.291666666664</v>
      </c>
      <c r="AW146" s="2">
        <f ca="1">RTD("ice.xl",,"*H",AW$4,AW$5,"",$AV146)</f>
        <v>58.56</v>
      </c>
      <c r="AX146" s="2">
        <f ca="1">RTD("ice.xl",,"*H",AW$4,AX$5,"",$AV146)</f>
        <v>3809107</v>
      </c>
      <c r="AY146" s="2" t="str">
        <f ca="1">RTD("ice.xl",,"*H",AW$4,AY$5,"",$AV146)</f>
        <v/>
      </c>
    </row>
    <row r="147" spans="48:51" x14ac:dyDescent="0.3">
      <c r="AV147" s="17">
        <f ca="1">RTD("ice.xl",,"*HT",_xll.FSJoinRange(AW4:AY4),"D[tl:Union]","300;6/27/2017","159")</f>
        <v>42709.291666666664</v>
      </c>
      <c r="AW147" s="2">
        <f ca="1">RTD("ice.xl",,"*H",AW$4,AW$5,"",$AV147)</f>
        <v>57.79</v>
      </c>
      <c r="AX147" s="2">
        <f ca="1">RTD("ice.xl",,"*H",AW$4,AX$5,"",$AV147)</f>
        <v>4219627</v>
      </c>
      <c r="AY147" s="2" t="str">
        <f ca="1">RTD("ice.xl",,"*H",AW$4,AY$5,"",$AV147)</f>
        <v/>
      </c>
    </row>
    <row r="148" spans="48:51" x14ac:dyDescent="0.3">
      <c r="AV148" s="17">
        <f ca="1">RTD("ice.xl",,"*HT",_xll.FSJoinRange(AW4:AY4),"D[tl:Union]","300;6/27/2017","158")</f>
        <v>42706.291666666664</v>
      </c>
      <c r="AW148" s="2">
        <f ca="1">RTD("ice.xl",,"*H",AW$4,AW$5,"",$AV148)</f>
        <v>56.65</v>
      </c>
      <c r="AX148" s="2">
        <f ca="1">RTD("ice.xl",,"*H",AW$4,AX$5,"",$AV148)</f>
        <v>3148203</v>
      </c>
      <c r="AY148" s="2" t="str">
        <f ca="1">RTD("ice.xl",,"*H",AW$4,AY$5,"",$AV148)</f>
        <v/>
      </c>
    </row>
    <row r="149" spans="48:51" x14ac:dyDescent="0.3">
      <c r="AV149" s="17">
        <f ca="1">RTD("ice.xl",,"*HT",_xll.FSJoinRange(AW4:AY4),"D[tl:Union]","300;6/27/2017","157")</f>
        <v>42705.291666666664</v>
      </c>
      <c r="AW149" s="2">
        <f ca="1">RTD("ice.xl",,"*H",AW$4,AW$5,"",$AV149)</f>
        <v>56.35</v>
      </c>
      <c r="AX149" s="2">
        <f ca="1">RTD("ice.xl",,"*H",AW$4,AX$5,"",$AV149)</f>
        <v>4136041</v>
      </c>
      <c r="AY149" s="2" t="str">
        <f ca="1">RTD("ice.xl",,"*H",AW$4,AY$5,"",$AV149)</f>
        <v/>
      </c>
    </row>
    <row r="150" spans="48:51" x14ac:dyDescent="0.3">
      <c r="AV150" s="17">
        <f ca="1">RTD("ice.xl",,"*HT",_xll.FSJoinRange(AW4:AY4),"D[tl:Union]","300;6/27/2017","156")</f>
        <v>42704.291666666664</v>
      </c>
      <c r="AW150" s="2">
        <f ca="1">RTD("ice.xl",,"*H",AW$4,AW$5,"",$AV150)</f>
        <v>55.4</v>
      </c>
      <c r="AX150" s="2">
        <f ca="1">RTD("ice.xl",,"*H",AW$4,AX$5,"",$AV150)</f>
        <v>5473641</v>
      </c>
      <c r="AY150" s="2" t="str">
        <f ca="1">RTD("ice.xl",,"*H",AW$4,AY$5,"",$AV150)</f>
        <v/>
      </c>
    </row>
    <row r="151" spans="48:51" x14ac:dyDescent="0.3">
      <c r="AV151" s="17">
        <f ca="1">RTD("ice.xl",,"*HT",_xll.FSJoinRange(AW4:AY4),"D[tl:Union]","300;6/27/2017","155")</f>
        <v>42703.291666666664</v>
      </c>
      <c r="AW151" s="2">
        <f ca="1">RTD("ice.xl",,"*H",AW$4,AW$5,"",$AV151)</f>
        <v>54.84</v>
      </c>
      <c r="AX151" s="2">
        <f ca="1">RTD("ice.xl",,"*H",AW$4,AX$5,"",$AV151)</f>
        <v>3023153</v>
      </c>
      <c r="AY151" s="2" t="str">
        <f ca="1">RTD("ice.xl",,"*H",AW$4,AY$5,"",$AV151)</f>
        <v/>
      </c>
    </row>
    <row r="152" spans="48:51" x14ac:dyDescent="0.3">
      <c r="AV152" s="17">
        <f ca="1">RTD("ice.xl",,"*HT",_xll.FSJoinRange(AW4:AY4),"D[tl:Union]","300;6/27/2017","154")</f>
        <v>42702.291666666664</v>
      </c>
      <c r="AW152" s="2">
        <f ca="1">RTD("ice.xl",,"*H",AW$4,AW$5,"",$AV152)</f>
        <v>54.08</v>
      </c>
      <c r="AX152" s="2">
        <f ca="1">RTD("ice.xl",,"*H",AW$4,AX$5,"",$AV152)</f>
        <v>2151256</v>
      </c>
      <c r="AY152" s="2" t="str">
        <f ca="1">RTD("ice.xl",,"*H",AW$4,AY$5,"",$AV152)</f>
        <v/>
      </c>
    </row>
    <row r="153" spans="48:51" x14ac:dyDescent="0.3">
      <c r="AV153" s="17">
        <f ca="1">RTD("ice.xl",,"*HT",_xll.FSJoinRange(AW4:AY4),"D[tl:Union]","300;6/27/2017","153")</f>
        <v>42699.291666666664</v>
      </c>
      <c r="AW153" s="2">
        <f ca="1">RTD("ice.xl",,"*H",AW$4,AW$5,"",$AV153)</f>
        <v>54.69</v>
      </c>
      <c r="AX153" s="2">
        <f ca="1">RTD("ice.xl",,"*H",AW$4,AX$5,"",$AV153)</f>
        <v>735481</v>
      </c>
      <c r="AY153" s="2" t="str">
        <f ca="1">RTD("ice.xl",,"*H",AW$4,AY$5,"",$AV153)</f>
        <v/>
      </c>
    </row>
    <row r="154" spans="48:51" x14ac:dyDescent="0.3">
      <c r="AV154" s="17">
        <f ca="1">RTD("ice.xl",,"*HT",_xll.FSJoinRange(AW4:AY4),"D[tl:Union]","300;6/27/2017","152")</f>
        <v>42697.291666666664</v>
      </c>
      <c r="AW154" s="2">
        <f ca="1">RTD("ice.xl",,"*H",AW$4,AW$5,"",$AV154)</f>
        <v>54.33</v>
      </c>
      <c r="AX154" s="2">
        <f ca="1">RTD("ice.xl",,"*H",AW$4,AX$5,"",$AV154)</f>
        <v>2560124</v>
      </c>
      <c r="AY154" s="2" t="str">
        <f ca="1">RTD("ice.xl",,"*H",AW$4,AY$5,"",$AV154)</f>
        <v/>
      </c>
    </row>
    <row r="155" spans="48:51" x14ac:dyDescent="0.3">
      <c r="AV155" s="17">
        <f ca="1">RTD("ice.xl",,"*HT",_xll.FSJoinRange(AW4:AY4),"D[tl:Union]","300;6/27/2017","151")</f>
        <v>42696.291666666664</v>
      </c>
      <c r="AW155" s="2">
        <f ca="1">RTD("ice.xl",,"*H",AW$4,AW$5,"",$AV155)</f>
        <v>54.41</v>
      </c>
      <c r="AX155" s="2">
        <f ca="1">RTD("ice.xl",,"*H",AW$4,AX$5,"",$AV155)</f>
        <v>3086697</v>
      </c>
      <c r="AY155" s="2" t="str">
        <f ca="1">RTD("ice.xl",,"*H",AW$4,AY$5,"",$AV155)</f>
        <v/>
      </c>
    </row>
    <row r="156" spans="48:51" x14ac:dyDescent="0.3">
      <c r="AV156" s="17">
        <f ca="1">RTD("ice.xl",,"*HT",_xll.FSJoinRange(AW4:AY4),"D[tl:Union]","300;6/27/2017","150")</f>
        <v>42695.291666666664</v>
      </c>
      <c r="AW156" s="2">
        <f ca="1">RTD("ice.xl",,"*H",AW$4,AW$5,"",$AV156)</f>
        <v>55.18</v>
      </c>
      <c r="AX156" s="2">
        <f ca="1">RTD("ice.xl",,"*H",AW$4,AX$5,"",$AV156)</f>
        <v>3315666</v>
      </c>
      <c r="AY156" s="2" t="str">
        <f ca="1">RTD("ice.xl",,"*H",AW$4,AY$5,"",$AV156)</f>
        <v/>
      </c>
    </row>
    <row r="157" spans="48:51" x14ac:dyDescent="0.3">
      <c r="AV157" s="17">
        <f ca="1">RTD("ice.xl",,"*HT",_xll.FSJoinRange(AW4:AY4),"D[tl:Union]","300;6/27/2017","149")</f>
        <v>42692.291666666664</v>
      </c>
      <c r="AW157" s="2">
        <f ca="1">RTD("ice.xl",,"*H",AW$4,AW$5,"",$AV157)</f>
        <v>54.82</v>
      </c>
      <c r="AX157" s="2">
        <f ca="1">RTD("ice.xl",,"*H",AW$4,AX$5,"",$AV157)</f>
        <v>3369269</v>
      </c>
      <c r="AY157" s="2" t="str">
        <f ca="1">RTD("ice.xl",,"*H",AW$4,AY$5,"",$AV157)</f>
        <v/>
      </c>
    </row>
    <row r="158" spans="48:51" x14ac:dyDescent="0.3">
      <c r="AV158" s="17">
        <f ca="1">RTD("ice.xl",,"*HT",_xll.FSJoinRange(AW4:AY4),"D[tl:Union]","300;6/27/2017","148")</f>
        <v>42691.291666666664</v>
      </c>
      <c r="AW158" s="2">
        <f ca="1">RTD("ice.xl",,"*H",AW$4,AW$5,"",$AV158)</f>
        <v>54.9</v>
      </c>
      <c r="AX158" s="2">
        <f ca="1">RTD("ice.xl",,"*H",AW$4,AX$5,"",$AV158)</f>
        <v>3179477</v>
      </c>
      <c r="AY158" s="2" t="str">
        <f ca="1">RTD("ice.xl",,"*H",AW$4,AY$5,"",$AV158)</f>
        <v/>
      </c>
    </row>
    <row r="159" spans="48:51" x14ac:dyDescent="0.3">
      <c r="AV159" s="17">
        <f ca="1">RTD("ice.xl",,"*HT",_xll.FSJoinRange(AW4:AY4),"D[tl:Union]","300;6/27/2017","147")</f>
        <v>42690.291666666664</v>
      </c>
      <c r="AW159" s="2">
        <f ca="1">RTD("ice.xl",,"*H",AW$4,AW$5,"",$AV159)</f>
        <v>54.45</v>
      </c>
      <c r="AX159" s="2">
        <f ca="1">RTD("ice.xl",,"*H",AW$4,AX$5,"",$AV159)</f>
        <v>4521838</v>
      </c>
      <c r="AY159" s="2" t="str">
        <f ca="1">RTD("ice.xl",,"*H",AW$4,AY$5,"",$AV159)</f>
        <v/>
      </c>
    </row>
    <row r="160" spans="48:51" x14ac:dyDescent="0.3">
      <c r="AV160" s="17">
        <f ca="1">RTD("ice.xl",,"*HT",_xll.FSJoinRange(AW4:AY4),"D[tl:Union]","300;6/27/2017","146")</f>
        <v>42689.291666666664</v>
      </c>
      <c r="AW160" s="2">
        <f ca="1">RTD("ice.xl",,"*H",AW$4,AW$5,"",$AV160)</f>
        <v>55.5</v>
      </c>
      <c r="AX160" s="2">
        <f ca="1">RTD("ice.xl",,"*H",AW$4,AX$5,"",$AV160)</f>
        <v>2855696</v>
      </c>
      <c r="AY160" s="2" t="str">
        <f ca="1">RTD("ice.xl",,"*H",AW$4,AY$5,"",$AV160)</f>
        <v/>
      </c>
    </row>
    <row r="161" spans="48:51" x14ac:dyDescent="0.3">
      <c r="AV161" s="17">
        <f ca="1">RTD("ice.xl",,"*HT",_xll.FSJoinRange(AW4:AY4),"D[tl:Union]","300;6/27/2017","145")</f>
        <v>42688.291666666664</v>
      </c>
      <c r="AW161" s="2">
        <f ca="1">RTD("ice.xl",,"*H",AW$4,AW$5,"",$AV161)</f>
        <v>55.59</v>
      </c>
      <c r="AX161" s="2">
        <f ca="1">RTD("ice.xl",,"*H",AW$4,AX$5,"",$AV161)</f>
        <v>3968830</v>
      </c>
      <c r="AY161" s="2" t="str">
        <f ca="1">RTD("ice.xl",,"*H",AW$4,AY$5,"",$AV161)</f>
        <v/>
      </c>
    </row>
    <row r="162" spans="48:51" x14ac:dyDescent="0.3">
      <c r="AV162" s="17">
        <f ca="1">RTD("ice.xl",,"*HT",_xll.FSJoinRange(AW4:AY4),"D[tl:Union]","300;6/27/2017","144")</f>
        <v>42685.291666666664</v>
      </c>
      <c r="AW162" s="2">
        <f ca="1">RTD("ice.xl",,"*H",AW$4,AW$5,"",$AV162)</f>
        <v>56.25</v>
      </c>
      <c r="AX162" s="2">
        <f ca="1">RTD("ice.xl",,"*H",AW$4,AX$5,"",$AV162)</f>
        <v>3415741</v>
      </c>
      <c r="AY162" s="2" t="str">
        <f ca="1">RTD("ice.xl",,"*H",AW$4,AY$5,"",$AV162)</f>
        <v/>
      </c>
    </row>
    <row r="163" spans="48:51" x14ac:dyDescent="0.3">
      <c r="AV163" s="17">
        <f ca="1">RTD("ice.xl",,"*HT",_xll.FSJoinRange(AW4:AY4),"D[tl:Union]","300;6/27/2017","143")</f>
        <v>42684.291666666664</v>
      </c>
      <c r="AW163" s="2">
        <f ca="1">RTD("ice.xl",,"*H",AW$4,AW$5,"",$AV163)</f>
        <v>57.3</v>
      </c>
      <c r="AX163" s="2">
        <f ca="1">RTD("ice.xl",,"*H",AW$4,AX$5,"",$AV163)</f>
        <v>3780301</v>
      </c>
      <c r="AY163" s="2" t="str">
        <f ca="1">RTD("ice.xl",,"*H",AW$4,AY$5,"",$AV163)</f>
        <v/>
      </c>
    </row>
    <row r="164" spans="48:51" x14ac:dyDescent="0.3">
      <c r="AV164" s="17">
        <f ca="1">RTD("ice.xl",,"*HT",_xll.FSJoinRange(AW4:AY4),"D[tl:Union]","300;6/27/2017","142")</f>
        <v>42683.291666666664</v>
      </c>
      <c r="AW164" s="2">
        <f ca="1">RTD("ice.xl",,"*H",AW$4,AW$5,"",$AV164)</f>
        <v>57.34</v>
      </c>
      <c r="AX164" s="2">
        <f ca="1">RTD("ice.xl",,"*H",AW$4,AX$5,"",$AV164)</f>
        <v>4936999</v>
      </c>
      <c r="AY164" s="2" t="str">
        <f ca="1">RTD("ice.xl",,"*H",AW$4,AY$5,"",$AV164)</f>
        <v/>
      </c>
    </row>
    <row r="165" spans="48:51" x14ac:dyDescent="0.3">
      <c r="AV165" s="17">
        <f ca="1">RTD("ice.xl",,"*HT",_xll.FSJoinRange(AW4:AY4),"D[tl:Union]","300;6/27/2017","141")</f>
        <v>42682.291666666664</v>
      </c>
      <c r="AW165" s="2">
        <f ca="1">RTD("ice.xl",,"*H",AW$4,AW$5,"",$AV165)</f>
        <v>54.62</v>
      </c>
      <c r="AX165" s="2">
        <f ca="1">RTD("ice.xl",,"*H",AW$4,AX$5,"",$AV165)</f>
        <v>2192259</v>
      </c>
      <c r="AY165" s="2" t="str">
        <f ca="1">RTD("ice.xl",,"*H",AW$4,AY$5,"",$AV165)</f>
        <v/>
      </c>
    </row>
    <row r="166" spans="48:51" x14ac:dyDescent="0.3">
      <c r="AV166" s="17">
        <f ca="1">RTD("ice.xl",,"*HT",_xll.FSJoinRange(AW4:AY4),"D[tl:Union]","300;6/27/2017","140")</f>
        <v>42681.291666666664</v>
      </c>
      <c r="AW166" s="2">
        <f ca="1">RTD("ice.xl",,"*H",AW$4,AW$5,"",$AV166)</f>
        <v>54.43</v>
      </c>
      <c r="AX166" s="2">
        <f ca="1">RTD("ice.xl",,"*H",AW$4,AX$5,"",$AV166)</f>
        <v>3395791</v>
      </c>
      <c r="AY166" s="2" t="str">
        <f ca="1">RTD("ice.xl",,"*H",AW$4,AY$5,"",$AV166)</f>
        <v/>
      </c>
    </row>
    <row r="167" spans="48:51" x14ac:dyDescent="0.3">
      <c r="AV167" s="17">
        <f ca="1">RTD("ice.xl",,"*HT",_xll.FSJoinRange(AW4:AY4),"D[tl:Union]","300;6/27/2017","139")</f>
        <v>42678.333333333336</v>
      </c>
      <c r="AW167" s="2">
        <f ca="1">RTD("ice.xl",,"*H",AW$4,AW$5,"",$AV167)</f>
        <v>53.37</v>
      </c>
      <c r="AX167" s="2">
        <f ca="1">RTD("ice.xl",,"*H",AW$4,AX$5,"",$AV167)</f>
        <v>2230413</v>
      </c>
      <c r="AY167" s="2" t="str">
        <f ca="1">RTD("ice.xl",,"*H",AW$4,AY$5,"",$AV167)</f>
        <v/>
      </c>
    </row>
    <row r="168" spans="48:51" x14ac:dyDescent="0.3">
      <c r="AV168" s="17">
        <f ca="1">RTD("ice.xl",,"*HT",_xll.FSJoinRange(AW4:AY4),"D[tl:Union]","300;6/27/2017","138")</f>
        <v>42677.333333333336</v>
      </c>
      <c r="AW168" s="2">
        <f ca="1">RTD("ice.xl",,"*H",AW$4,AW$5,"",$AV168)</f>
        <v>53.893999999999998</v>
      </c>
      <c r="AX168" s="2">
        <f ca="1">RTD("ice.xl",,"*H",AW$4,AX$5,"",$AV168)</f>
        <v>3707295</v>
      </c>
      <c r="AY168" s="2" t="str">
        <f ca="1">RTD("ice.xl",,"*H",AW$4,AY$5,"",$AV168)</f>
        <v/>
      </c>
    </row>
    <row r="169" spans="48:51" x14ac:dyDescent="0.3">
      <c r="AV169" s="17">
        <f ca="1">RTD("ice.xl",,"*HT",_xll.FSJoinRange(AW4:AY4),"D[tl:Union]","300;6/27/2017","137")</f>
        <v>42676.333333333336</v>
      </c>
      <c r="AW169" s="2">
        <f ca="1">RTD("ice.xl",,"*H",AW$4,AW$5,"",$AV169)</f>
        <v>53.043999999999997</v>
      </c>
      <c r="AX169" s="2">
        <f ca="1">RTD("ice.xl",,"*H",AW$4,AX$5,"",$AV169)</f>
        <v>3936775</v>
      </c>
      <c r="AY169" s="2" t="str">
        <f ca="1">RTD("ice.xl",,"*H",AW$4,AY$5,"",$AV169)</f>
        <v/>
      </c>
    </row>
    <row r="170" spans="48:51" x14ac:dyDescent="0.3">
      <c r="AV170" s="17">
        <f ca="1">RTD("ice.xl",,"*HT",_xll.FSJoinRange(AW4:AY4),"D[tl:Union]","300;6/27/2017","136")</f>
        <v>42675.333333333336</v>
      </c>
      <c r="AW170" s="2">
        <f ca="1">RTD("ice.xl",,"*H",AW$4,AW$5,"",$AV170)</f>
        <v>52.61</v>
      </c>
      <c r="AX170" s="2">
        <f ca="1">RTD("ice.xl",,"*H",AW$4,AX$5,"",$AV170)</f>
        <v>6879725</v>
      </c>
      <c r="AY170" s="2" t="str">
        <f ca="1">RTD("ice.xl",,"*H",AW$4,AY$5,"",$AV170)</f>
        <v/>
      </c>
    </row>
    <row r="171" spans="48:51" x14ac:dyDescent="0.3">
      <c r="AV171" s="17">
        <f ca="1">RTD("ice.xl",,"*HT",_xll.FSJoinRange(AW4:AY4),"D[tl:Union]","300;6/27/2017","135")</f>
        <v>42674.333333333336</v>
      </c>
      <c r="AW171" s="2">
        <f ca="1">RTD("ice.xl",,"*H",AW$4,AW$5,"",$AV171)</f>
        <v>54.078000000000003</v>
      </c>
      <c r="AX171" s="2">
        <f ca="1">RTD("ice.xl",,"*H",AW$4,AX$5,"",$AV171)</f>
        <v>4055015</v>
      </c>
      <c r="AY171" s="2" t="str">
        <f ca="1">RTD("ice.xl",,"*H",AW$4,AY$5,"",$AV171)</f>
        <v/>
      </c>
    </row>
    <row r="172" spans="48:51" x14ac:dyDescent="0.3">
      <c r="AV172" s="17">
        <f ca="1">RTD("ice.xl",,"*HT",_xll.FSJoinRange(AW4:AY4),"D[tl:Union]","300;6/27/2017","134")</f>
        <v>42671.333333333336</v>
      </c>
      <c r="AW172" s="2">
        <f ca="1">RTD("ice.xl",,"*H",AW$4,AW$5,"",$AV172)</f>
        <v>53.566000000000003</v>
      </c>
      <c r="AX172" s="2">
        <f ca="1">RTD("ice.xl",,"*H",AW$4,AX$5,"",$AV172)</f>
        <v>2674575</v>
      </c>
      <c r="AY172" s="2" t="str">
        <f ca="1">RTD("ice.xl",,"*H",AW$4,AY$5,"",$AV172)</f>
        <v/>
      </c>
    </row>
    <row r="173" spans="48:51" x14ac:dyDescent="0.3">
      <c r="AV173" s="17">
        <f ca="1">RTD("ice.xl",,"*HT",_xll.FSJoinRange(AW4:AY4),"D[tl:Union]","300;6/27/2017","133")</f>
        <v>42670.333333333336</v>
      </c>
      <c r="AW173" s="2">
        <f ca="1">RTD("ice.xl",,"*H",AW$4,AW$5,"",$AV173)</f>
        <v>53.222000000000001</v>
      </c>
      <c r="AX173" s="2">
        <f ca="1">RTD("ice.xl",,"*H",AW$4,AX$5,"",$AV173)</f>
        <v>2777780</v>
      </c>
      <c r="AY173" s="2" t="str">
        <f ca="1">RTD("ice.xl",,"*H",AW$4,AY$5,"",$AV173)</f>
        <v/>
      </c>
    </row>
    <row r="174" spans="48:51" x14ac:dyDescent="0.3">
      <c r="AV174" s="17">
        <f ca="1">RTD("ice.xl",,"*HT",_xll.FSJoinRange(AW4:AY4),"D[tl:Union]","300;6/27/2017","132")</f>
        <v>42669.333333333336</v>
      </c>
      <c r="AW174" s="2">
        <f ca="1">RTD("ice.xl",,"*H",AW$4,AW$5,"",$AV174)</f>
        <v>53.264000000000003</v>
      </c>
      <c r="AX174" s="2">
        <f ca="1">RTD("ice.xl",,"*H",AW$4,AX$5,"",$AV174)</f>
        <v>2019285</v>
      </c>
      <c r="AY174" s="2" t="str">
        <f ca="1">RTD("ice.xl",,"*H",AW$4,AY$5,"",$AV174)</f>
        <v/>
      </c>
    </row>
    <row r="175" spans="48:51" x14ac:dyDescent="0.3">
      <c r="AV175" s="17">
        <f ca="1">RTD("ice.xl",,"*HT",_xll.FSJoinRange(AW4:AY4),"D[tl:Union]","300;6/27/2017","131")</f>
        <v>42668.333333333336</v>
      </c>
      <c r="AW175" s="2">
        <f ca="1">RTD("ice.xl",,"*H",AW$4,AW$5,"",$AV175)</f>
        <v>53.387999999999998</v>
      </c>
      <c r="AX175" s="2">
        <f ca="1">RTD("ice.xl",,"*H",AW$4,AX$5,"",$AV175)</f>
        <v>1972120</v>
      </c>
      <c r="AY175" s="2" t="str">
        <f ca="1">RTD("ice.xl",,"*H",AW$4,AY$5,"",$AV175)</f>
        <v/>
      </c>
    </row>
    <row r="176" spans="48:51" x14ac:dyDescent="0.3">
      <c r="AV176" s="17">
        <f ca="1">RTD("ice.xl",,"*HT",_xll.FSJoinRange(AW4:AY4),"D[tl:Union]","300;6/27/2017","130")</f>
        <v>42667.333333333336</v>
      </c>
      <c r="AW176" s="2">
        <f ca="1">RTD("ice.xl",,"*H",AW$4,AW$5,"",$AV176)</f>
        <v>53.308</v>
      </c>
      <c r="AX176" s="2">
        <f ca="1">RTD("ice.xl",,"*H",AW$4,AX$5,"",$AV176)</f>
        <v>1552570</v>
      </c>
      <c r="AY176" s="2" t="str">
        <f ca="1">RTD("ice.xl",,"*H",AW$4,AY$5,"",$AV176)</f>
        <v/>
      </c>
    </row>
    <row r="177" spans="48:51" x14ac:dyDescent="0.3">
      <c r="AV177" s="17">
        <f ca="1">RTD("ice.xl",,"*HT",_xll.FSJoinRange(AW4:AY4),"D[tl:Union]","300;6/27/2017","129")</f>
        <v>42664.333333333336</v>
      </c>
      <c r="AW177" s="2">
        <f ca="1">RTD("ice.xl",,"*H",AW$4,AW$5,"",$AV177)</f>
        <v>53.265999999999998</v>
      </c>
      <c r="AX177" s="2">
        <f ca="1">RTD("ice.xl",,"*H",AW$4,AX$5,"",$AV177)</f>
        <v>2494635</v>
      </c>
      <c r="AY177" s="2" t="str">
        <f ca="1">RTD("ice.xl",,"*H",AW$4,AY$5,"",$AV177)</f>
        <v/>
      </c>
    </row>
    <row r="178" spans="48:51" x14ac:dyDescent="0.3">
      <c r="AV178" s="17">
        <f ca="1">RTD("ice.xl",,"*HT",_xll.FSJoinRange(AW4:AY4),"D[tl:Union]","300;6/27/2017","128")</f>
        <v>42663.333333333336</v>
      </c>
      <c r="AW178" s="2">
        <f ca="1">RTD("ice.xl",,"*H",AW$4,AW$5,"",$AV178)</f>
        <v>53.006</v>
      </c>
      <c r="AX178" s="2">
        <f ca="1">RTD("ice.xl",,"*H",AW$4,AX$5,"",$AV178)</f>
        <v>2025705</v>
      </c>
      <c r="AY178" s="2" t="str">
        <f ca="1">RTD("ice.xl",,"*H",AW$4,AY$5,"",$AV178)</f>
        <v/>
      </c>
    </row>
    <row r="179" spans="48:51" x14ac:dyDescent="0.3">
      <c r="AV179" s="17">
        <f ca="1">RTD("ice.xl",,"*HT",_xll.FSJoinRange(AW4:AY4),"D[tl:Union]","300;6/27/2017","127")</f>
        <v>42662.333333333336</v>
      </c>
      <c r="AW179" s="2">
        <f ca="1">RTD("ice.xl",,"*H",AW$4,AW$5,"",$AV179)</f>
        <v>53.411999999999999</v>
      </c>
      <c r="AX179" s="2">
        <f ca="1">RTD("ice.xl",,"*H",AW$4,AX$5,"",$AV179)</f>
        <v>1898985</v>
      </c>
      <c r="AY179" s="2" t="str">
        <f ca="1">RTD("ice.xl",,"*H",AW$4,AY$5,"",$AV179)</f>
        <v/>
      </c>
    </row>
    <row r="180" spans="48:51" x14ac:dyDescent="0.3">
      <c r="AV180" s="17">
        <f ca="1">RTD("ice.xl",,"*HT",_xll.FSJoinRange(AW4:AY4),"D[tl:Union]","300;6/27/2017","126")</f>
        <v>42661.333333333336</v>
      </c>
      <c r="AW180" s="2">
        <f ca="1">RTD("ice.xl",,"*H",AW$4,AW$5,"",$AV180)</f>
        <v>53.53</v>
      </c>
      <c r="AX180" s="2">
        <f ca="1">RTD("ice.xl",,"*H",AW$4,AX$5,"",$AV180)</f>
        <v>1899055</v>
      </c>
      <c r="AY180" s="2" t="str">
        <f ca="1">RTD("ice.xl",,"*H",AW$4,AY$5,"",$AV180)</f>
        <v/>
      </c>
    </row>
    <row r="181" spans="48:51" x14ac:dyDescent="0.3">
      <c r="AV181" s="17">
        <f ca="1">RTD("ice.xl",,"*HT",_xll.FSJoinRange(AW4:AY4),"D[tl:Union]","300;6/27/2017","125")</f>
        <v>42660.333333333336</v>
      </c>
      <c r="AW181" s="2">
        <f ca="1">RTD("ice.xl",,"*H",AW$4,AW$5,"",$AV181)</f>
        <v>53.177999999999997</v>
      </c>
      <c r="AX181" s="2">
        <f ca="1">RTD("ice.xl",,"*H",AW$4,AX$5,"",$AV181)</f>
        <v>2352105</v>
      </c>
      <c r="AY181" s="2" t="str">
        <f ca="1">RTD("ice.xl",,"*H",AW$4,AY$5,"",$AV181)</f>
        <v/>
      </c>
    </row>
    <row r="182" spans="48:51" x14ac:dyDescent="0.3">
      <c r="AV182" s="17">
        <f ca="1">RTD("ice.xl",,"*HT",_xll.FSJoinRange(AW4:AY4),"D[tl:Union]","300;6/27/2017","124")</f>
        <v>42657.333333333336</v>
      </c>
      <c r="AW182" s="2">
        <f ca="1">RTD("ice.xl",,"*H",AW$4,AW$5,"",$AV182)</f>
        <v>54.258000000000003</v>
      </c>
      <c r="AX182" s="2">
        <f ca="1">RTD("ice.xl",,"*H",AW$4,AX$5,"",$AV182)</f>
        <v>3297085</v>
      </c>
      <c r="AY182" s="2" t="str">
        <f ca="1">RTD("ice.xl",,"*H",AW$4,AY$5,"",$AV182)</f>
        <v/>
      </c>
    </row>
    <row r="183" spans="48:51" x14ac:dyDescent="0.3">
      <c r="AV183" s="17">
        <f ca="1">RTD("ice.xl",,"*HT",_xll.FSJoinRange(AW4:AY4),"D[tl:Union]","300;6/27/2017","123")</f>
        <v>42656.333333333336</v>
      </c>
      <c r="AW183" s="2">
        <f ca="1">RTD("ice.xl",,"*H",AW$4,AW$5,"",$AV183)</f>
        <v>53.311999999999998</v>
      </c>
      <c r="AX183" s="2">
        <f ca="1">RTD("ice.xl",,"*H",AW$4,AX$5,"",$AV183)</f>
        <v>3073060</v>
      </c>
      <c r="AY183" s="2" t="str">
        <f ca="1">RTD("ice.xl",,"*H",AW$4,AY$5,"",$AV183)</f>
        <v/>
      </c>
    </row>
    <row r="184" spans="48:51" x14ac:dyDescent="0.3">
      <c r="AV184" s="17">
        <f ca="1">RTD("ice.xl",,"*HT",_xll.FSJoinRange(AW4:AY4),"D[tl:Union]","300;6/27/2017","122")</f>
        <v>42655.333333333336</v>
      </c>
      <c r="AW184" s="2">
        <f ca="1">RTD("ice.xl",,"*H",AW$4,AW$5,"",$AV184)</f>
        <v>53.466000000000001</v>
      </c>
      <c r="AX184" s="2">
        <f ca="1">RTD("ice.xl",,"*H",AW$4,AX$5,"",$AV184)</f>
        <v>2351210</v>
      </c>
      <c r="AY184" s="2" t="str">
        <f ca="1">RTD("ice.xl",,"*H",AW$4,AY$5,"",$AV184)</f>
        <v/>
      </c>
    </row>
    <row r="185" spans="48:51" x14ac:dyDescent="0.3">
      <c r="AV185" s="17">
        <f ca="1">RTD("ice.xl",,"*HT",_xll.FSJoinRange(AW4:AY4),"D[tl:Union]","300;6/27/2017","121")</f>
        <v>42654.333333333336</v>
      </c>
      <c r="AW185" s="2">
        <f ca="1">RTD("ice.xl",,"*H",AW$4,AW$5,"",$AV185)</f>
        <v>53.07</v>
      </c>
      <c r="AX185" s="2">
        <f ca="1">RTD("ice.xl",,"*H",AW$4,AX$5,"",$AV185)</f>
        <v>3266390</v>
      </c>
      <c r="AY185" s="2" t="str">
        <f ca="1">RTD("ice.xl",,"*H",AW$4,AY$5,"",$AV185)</f>
        <v/>
      </c>
    </row>
    <row r="186" spans="48:51" x14ac:dyDescent="0.3">
      <c r="AV186" s="17">
        <f ca="1">RTD("ice.xl",,"*HT",_xll.FSJoinRange(AW4:AY4),"D[tl:Union]","300;6/27/2017","120")</f>
        <v>42653.333333333336</v>
      </c>
      <c r="AW186" s="2">
        <f ca="1">RTD("ice.xl",,"*H",AW$4,AW$5,"",$AV186)</f>
        <v>53.68</v>
      </c>
      <c r="AX186" s="2">
        <f ca="1">RTD("ice.xl",,"*H",AW$4,AX$5,"",$AV186)</f>
        <v>2680090</v>
      </c>
      <c r="AY186" s="2" t="str">
        <f ca="1">RTD("ice.xl",,"*H",AW$4,AY$5,"",$AV186)</f>
        <v/>
      </c>
    </row>
    <row r="187" spans="48:51" x14ac:dyDescent="0.3">
      <c r="AV187" s="17">
        <f ca="1">RTD("ice.xl",,"*HT",_xll.FSJoinRange(AW4:AY4),"D[tl:Union]","300;6/27/2017","119")</f>
        <v>42650.333333333336</v>
      </c>
      <c r="AW187" s="2">
        <f ca="1">RTD("ice.xl",,"*H",AW$4,AW$5,"",$AV187)</f>
        <v>53.462000000000003</v>
      </c>
      <c r="AX187" s="2">
        <f ca="1">RTD("ice.xl",,"*H",AW$4,AX$5,"",$AV187)</f>
        <v>1694810</v>
      </c>
      <c r="AY187" s="2" t="str">
        <f ca="1">RTD("ice.xl",,"*H",AW$4,AY$5,"",$AV187)</f>
        <v/>
      </c>
    </row>
    <row r="188" spans="48:51" x14ac:dyDescent="0.3">
      <c r="AV188" s="17">
        <f ca="1">RTD("ice.xl",,"*HT",_xll.FSJoinRange(AW4:AY4),"D[tl:Union]","300;6/27/2017","118")</f>
        <v>42649.333333333336</v>
      </c>
      <c r="AW188" s="2">
        <f ca="1">RTD("ice.xl",,"*H",AW$4,AW$5,"",$AV188)</f>
        <v>53.543999999999997</v>
      </c>
      <c r="AX188" s="2">
        <f ca="1">RTD("ice.xl",,"*H",AW$4,AX$5,"",$AV188)</f>
        <v>1793760</v>
      </c>
      <c r="AY188" s="2" t="str">
        <f ca="1">RTD("ice.xl",,"*H",AW$4,AY$5,"",$AV188)</f>
        <v/>
      </c>
    </row>
    <row r="189" spans="48:51" x14ac:dyDescent="0.3">
      <c r="AV189" s="17">
        <f ca="1">RTD("ice.xl",,"*HT",_xll.FSJoinRange(AW4:AY4),"D[tl:Union]","300;6/27/2017","117")</f>
        <v>42648.333333333336</v>
      </c>
      <c r="AW189" s="2">
        <f ca="1">RTD("ice.xl",,"*H",AW$4,AW$5,"",$AV189)</f>
        <v>53.661999999999999</v>
      </c>
      <c r="AX189" s="2">
        <f ca="1">RTD("ice.xl",,"*H",AW$4,AX$5,"",$AV189)</f>
        <v>3207710</v>
      </c>
      <c r="AY189" s="2" t="str">
        <f ca="1">RTD("ice.xl",,"*H",AW$4,AY$5,"",$AV189)</f>
        <v/>
      </c>
    </row>
    <row r="190" spans="48:51" x14ac:dyDescent="0.3">
      <c r="AV190" s="17">
        <f ca="1">RTD("ice.xl",,"*HT",_xll.FSJoinRange(AW4:AY4),"D[tl:Union]","300;6/27/2017","116")</f>
        <v>42647.333333333336</v>
      </c>
      <c r="AW190" s="2">
        <f ca="1">RTD("ice.xl",,"*H",AW$4,AW$5,"",$AV190)</f>
        <v>53.552</v>
      </c>
      <c r="AX190" s="2">
        <f ca="1">RTD("ice.xl",,"*H",AW$4,AX$5,"",$AV190)</f>
        <v>2449245</v>
      </c>
      <c r="AY190" s="2" t="str">
        <f ca="1">RTD("ice.xl",,"*H",AW$4,AY$5,"",$AV190)</f>
        <v/>
      </c>
    </row>
    <row r="191" spans="48:51" x14ac:dyDescent="0.3">
      <c r="AV191" s="17">
        <f ca="1">RTD("ice.xl",,"*HT",_xll.FSJoinRange(AW4:AY4),"D[tl:Union]","300;6/27/2017","115")</f>
        <v>42646.333333333336</v>
      </c>
      <c r="AW191" s="2">
        <f ca="1">RTD("ice.xl",,"*H",AW$4,AW$5,"",$AV191)</f>
        <v>53.533999999999999</v>
      </c>
      <c r="AX191" s="2">
        <f ca="1">RTD("ice.xl",,"*H",AW$4,AX$5,"",$AV191)</f>
        <v>4497090</v>
      </c>
      <c r="AY191" s="2" t="str">
        <f ca="1">RTD("ice.xl",,"*H",AW$4,AY$5,"",$AV191)</f>
        <v/>
      </c>
    </row>
    <row r="192" spans="48:51" x14ac:dyDescent="0.3">
      <c r="AV192" s="17">
        <f ca="1">RTD("ice.xl",,"*HT",_xll.FSJoinRange(AW4:AY4),"D[tl:Union]","300;6/27/2017","114")</f>
        <v>42643.333333333336</v>
      </c>
      <c r="AW192" s="2">
        <f ca="1">RTD("ice.xl",,"*H",AW$4,AW$5,"",$AV192)</f>
        <v>53.872</v>
      </c>
      <c r="AX192" s="2">
        <f ca="1">RTD("ice.xl",,"*H",AW$4,AX$5,"",$AV192)</f>
        <v>3410605</v>
      </c>
      <c r="AY192" s="2" t="str">
        <f ca="1">RTD("ice.xl",,"*H",AW$4,AY$5,"",$AV192)</f>
        <v/>
      </c>
    </row>
    <row r="193" spans="48:51" x14ac:dyDescent="0.3">
      <c r="AV193" s="17">
        <f ca="1">RTD("ice.xl",,"*HT",_xll.FSJoinRange(AW4:AY4),"D[tl:Union]","300;6/27/2017","113")</f>
        <v>42642.333333333336</v>
      </c>
      <c r="AW193" s="2">
        <f ca="1">RTD("ice.xl",,"*H",AW$4,AW$5,"",$AV193)</f>
        <v>53.68</v>
      </c>
      <c r="AX193" s="2">
        <f ca="1">RTD("ice.xl",,"*H",AW$4,AX$5,"",$AV193)</f>
        <v>2953725</v>
      </c>
      <c r="AY193" s="2" t="str">
        <f ca="1">RTD("ice.xl",,"*H",AW$4,AY$5,"",$AV193)</f>
        <v/>
      </c>
    </row>
    <row r="194" spans="48:51" x14ac:dyDescent="0.3">
      <c r="AV194" s="17">
        <f ca="1">RTD("ice.xl",,"*HT",_xll.FSJoinRange(AW4:AY4),"D[tl:Union]","300;6/27/2017","112")</f>
        <v>42641.333333333336</v>
      </c>
      <c r="AW194" s="2">
        <f ca="1">RTD("ice.xl",,"*H",AW$4,AW$5,"",$AV194)</f>
        <v>54.192</v>
      </c>
      <c r="AX194" s="2">
        <f ca="1">RTD("ice.xl",,"*H",AW$4,AX$5,"",$AV194)</f>
        <v>3870825</v>
      </c>
      <c r="AY194" s="2" t="str">
        <f ca="1">RTD("ice.xl",,"*H",AW$4,AY$5,"",$AV194)</f>
        <v/>
      </c>
    </row>
    <row r="195" spans="48:51" x14ac:dyDescent="0.3">
      <c r="AV195" s="17">
        <f ca="1">RTD("ice.xl",,"*HT",_xll.FSJoinRange(AW4:AY4),"D[tl:Union]","300;6/27/2017","111")</f>
        <v>42640.333333333336</v>
      </c>
      <c r="AW195" s="2">
        <f ca="1">RTD("ice.xl",,"*H",AW$4,AW$5,"",$AV195)</f>
        <v>54.706000000000003</v>
      </c>
      <c r="AX195" s="2">
        <f ca="1">RTD("ice.xl",,"*H",AW$4,AX$5,"",$AV195)</f>
        <v>2403105</v>
      </c>
      <c r="AY195" s="2" t="str">
        <f ca="1">RTD("ice.xl",,"*H",AW$4,AY$5,"",$AV195)</f>
        <v/>
      </c>
    </row>
    <row r="196" spans="48:51" x14ac:dyDescent="0.3">
      <c r="AV196" s="17">
        <f ca="1">RTD("ice.xl",,"*HT",_xll.FSJoinRange(AW4:AY4),"D[tl:Union]","300;6/27/2017","110")</f>
        <v>42639.333333333336</v>
      </c>
      <c r="AW196" s="2">
        <f ca="1">RTD("ice.xl",,"*H",AW$4,AW$5,"",$AV196)</f>
        <v>54.808</v>
      </c>
      <c r="AX196" s="2">
        <f ca="1">RTD("ice.xl",,"*H",AW$4,AX$5,"",$AV196)</f>
        <v>2608240</v>
      </c>
      <c r="AY196" s="2" t="str">
        <f ca="1">RTD("ice.xl",,"*H",AW$4,AY$5,"",$AV196)</f>
        <v/>
      </c>
    </row>
    <row r="197" spans="48:51" x14ac:dyDescent="0.3">
      <c r="AV197" s="17">
        <f ca="1">RTD("ice.xl",,"*HT",_xll.FSJoinRange(AW4:AY4),"D[tl:Union]","300;6/27/2017","109")</f>
        <v>42636.333333333336</v>
      </c>
      <c r="AW197" s="2">
        <f ca="1">RTD("ice.xl",,"*H",AW$4,AW$5,"",$AV197)</f>
        <v>55.222000000000001</v>
      </c>
      <c r="AX197" s="2">
        <f ca="1">RTD("ice.xl",,"*H",AW$4,AX$5,"",$AV197)</f>
        <v>2997735</v>
      </c>
      <c r="AY197" s="2" t="str">
        <f ca="1">RTD("ice.xl",,"*H",AW$4,AY$5,"",$AV197)</f>
        <v/>
      </c>
    </row>
    <row r="198" spans="48:51" x14ac:dyDescent="0.3">
      <c r="AV198" s="17">
        <f ca="1">RTD("ice.xl",,"*HT",_xll.FSJoinRange(AW4:AY4),"D[tl:Union]","300;6/27/2017","108")</f>
        <v>42635.333333333336</v>
      </c>
      <c r="AW198" s="2">
        <f ca="1">RTD("ice.xl",,"*H",AW$4,AW$5,"",$AV198)</f>
        <v>56.143999999999998</v>
      </c>
      <c r="AX198" s="2">
        <f ca="1">RTD("ice.xl",,"*H",AW$4,AX$5,"",$AV198)</f>
        <v>1952065</v>
      </c>
      <c r="AY198" s="2" t="str">
        <f ca="1">RTD("ice.xl",,"*H",AW$4,AY$5,"",$AV198)</f>
        <v/>
      </c>
    </row>
    <row r="199" spans="48:51" x14ac:dyDescent="0.3">
      <c r="AV199" s="17">
        <f ca="1">RTD("ice.xl",,"*HT",_xll.FSJoinRange(AW4:AY4),"D[tl:Union]","300;6/27/2017","107")</f>
        <v>42634.333333333336</v>
      </c>
      <c r="AW199" s="2">
        <f ca="1">RTD("ice.xl",,"*H",AW$4,AW$5,"",$AV199)</f>
        <v>56.451999999999998</v>
      </c>
      <c r="AX199" s="2">
        <f ca="1">RTD("ice.xl",,"*H",AW$4,AX$5,"",$AV199)</f>
        <v>1707070</v>
      </c>
      <c r="AY199" s="2" t="str">
        <f ca="1">RTD("ice.xl",,"*H",AW$4,AY$5,"",$AV199)</f>
        <v/>
      </c>
    </row>
    <row r="200" spans="48:51" x14ac:dyDescent="0.3">
      <c r="AV200" s="17">
        <f ca="1">RTD("ice.xl",,"*HT",_xll.FSJoinRange(AW4:AY4),"D[tl:Union]","300;6/27/2017","106")</f>
        <v>42633.333333333336</v>
      </c>
      <c r="AW200" s="2">
        <f ca="1">RTD("ice.xl",,"*H",AW$4,AW$5,"",$AV200)</f>
        <v>56.042000000000002</v>
      </c>
      <c r="AX200" s="2">
        <f ca="1">RTD("ice.xl",,"*H",AW$4,AX$5,"",$AV200)</f>
        <v>1459140</v>
      </c>
      <c r="AY200" s="2" t="str">
        <f ca="1">RTD("ice.xl",,"*H",AW$4,AY$5,"",$AV200)</f>
        <v/>
      </c>
    </row>
    <row r="201" spans="48:51" x14ac:dyDescent="0.3">
      <c r="AV201" s="17">
        <f ca="1">RTD("ice.xl",,"*HT",_xll.FSJoinRange(AW4:AY4),"D[tl:Union]","300;6/27/2017","105")</f>
        <v>42632.333333333336</v>
      </c>
      <c r="AW201" s="2">
        <f ca="1">RTD("ice.xl",,"*H",AW$4,AW$5,"",$AV201)</f>
        <v>56.45</v>
      </c>
      <c r="AX201" s="2">
        <f ca="1">RTD("ice.xl",,"*H",AW$4,AX$5,"",$AV201)</f>
        <v>1802960</v>
      </c>
      <c r="AY201" s="2" t="str">
        <f ca="1">RTD("ice.xl",,"*H",AW$4,AY$5,"",$AV201)</f>
        <v/>
      </c>
    </row>
    <row r="202" spans="48:51" x14ac:dyDescent="0.3">
      <c r="AV202" s="17">
        <f ca="1">RTD("ice.xl",,"*HT",_xll.FSJoinRange(AW4:AY4),"D[tl:Union]","300;6/27/2017","104")</f>
        <v>42629.333333333336</v>
      </c>
      <c r="AW202" s="2">
        <f ca="1">RTD("ice.xl",,"*H",AW$4,AW$5,"",$AV202)</f>
        <v>56.3</v>
      </c>
      <c r="AX202" s="2">
        <f ca="1">RTD("ice.xl",,"*H",AW$4,AX$5,"",$AV202)</f>
        <v>3187130</v>
      </c>
      <c r="AY202" s="2" t="str">
        <f ca="1">RTD("ice.xl",,"*H",AW$4,AY$5,"",$AV202)</f>
        <v/>
      </c>
    </row>
    <row r="203" spans="48:51" x14ac:dyDescent="0.3">
      <c r="AV203" s="17">
        <f ca="1">RTD("ice.xl",,"*HT",_xll.FSJoinRange(AW4:AY4),"D[tl:Union]","300;6/27/2017","103")</f>
        <v>42628.333333333336</v>
      </c>
      <c r="AW203" s="2">
        <f ca="1">RTD("ice.xl",,"*H",AW$4,AW$5,"",$AV203)</f>
        <v>56.344000000000001</v>
      </c>
      <c r="AX203" s="2">
        <f ca="1">RTD("ice.xl",,"*H",AW$4,AX$5,"",$AV203)</f>
        <v>2574015</v>
      </c>
      <c r="AY203" s="2" t="str">
        <f ca="1">RTD("ice.xl",,"*H",AW$4,AY$5,"",$AV203)</f>
        <v/>
      </c>
    </row>
    <row r="204" spans="48:51" x14ac:dyDescent="0.3">
      <c r="AV204" s="17">
        <f ca="1">RTD("ice.xl",,"*HT",_xll.FSJoinRange(AW4:AY4),"D[tl:Union]","300;6/27/2017","102")</f>
        <v>42627.333333333336</v>
      </c>
      <c r="AW204" s="2">
        <f ca="1">RTD("ice.xl",,"*H",AW$4,AW$5,"",$AV204)</f>
        <v>55.96</v>
      </c>
      <c r="AX204" s="2">
        <f ca="1">RTD("ice.xl",,"*H",AW$4,AX$5,"",$AV204)</f>
        <v>4206200</v>
      </c>
      <c r="AY204" s="2" t="str">
        <f ca="1">RTD("ice.xl",,"*H",AW$4,AY$5,"",$AV204)</f>
        <v/>
      </c>
    </row>
    <row r="205" spans="48:51" x14ac:dyDescent="0.3">
      <c r="AV205" s="17">
        <f ca="1">RTD("ice.xl",,"*HT",_xll.FSJoinRange(AW4:AY4),"D[tl:Union]","300;6/27/2017","101")</f>
        <v>42626.333333333336</v>
      </c>
      <c r="AW205" s="2">
        <f ca="1">RTD("ice.xl",,"*H",AW$4,AW$5,"",$AV205)</f>
        <v>56.33</v>
      </c>
      <c r="AX205" s="2">
        <f ca="1">RTD("ice.xl",,"*H",AW$4,AX$5,"",$AV205)</f>
        <v>4094925</v>
      </c>
      <c r="AY205" s="2" t="str">
        <f ca="1">RTD("ice.xl",,"*H",AW$4,AY$5,"",$AV205)</f>
        <v/>
      </c>
    </row>
    <row r="206" spans="48:51" x14ac:dyDescent="0.3">
      <c r="AV206" s="17">
        <f ca="1">RTD("ice.xl",,"*HT",_xll.FSJoinRange(AW4:AY4),"D[tl:Union]","300;6/27/2017","100")</f>
        <v>42625.333333333336</v>
      </c>
      <c r="AW206" s="2">
        <f ca="1">RTD("ice.xl",,"*H",AW$4,AW$5,"",$AV206)</f>
        <v>56.997999999999998</v>
      </c>
      <c r="AX206" s="2">
        <f ca="1">RTD("ice.xl",,"*H",AW$4,AX$5,"",$AV206)</f>
        <v>4145260</v>
      </c>
      <c r="AY206" s="2" t="str">
        <f ca="1">RTD("ice.xl",,"*H",AW$4,AY$5,"",$AV206)</f>
        <v/>
      </c>
    </row>
    <row r="207" spans="48:51" x14ac:dyDescent="0.3">
      <c r="AV207" s="17">
        <f ca="1">RTD("ice.xl",,"*HT",_xll.FSJoinRange(AW4:AY4),"D[tl:Union]","300;6/27/2017","99")</f>
        <v>42622.333333333336</v>
      </c>
      <c r="AW207" s="2">
        <f ca="1">RTD("ice.xl",,"*H",AW$4,AW$5,"",$AV207)</f>
        <v>56.45</v>
      </c>
      <c r="AX207" s="2">
        <f ca="1">RTD("ice.xl",,"*H",AW$4,AX$5,"",$AV207)</f>
        <v>4113700</v>
      </c>
      <c r="AY207" s="2" t="str">
        <f ca="1">RTD("ice.xl",,"*H",AW$4,AY$5,"",$AV207)</f>
        <v/>
      </c>
    </row>
    <row r="208" spans="48:51" x14ac:dyDescent="0.3">
      <c r="AV208" s="17">
        <f ca="1">RTD("ice.xl",,"*HT",_xll.FSJoinRange(AW4:AY4),"D[tl:Union]","300;6/27/2017","98")</f>
        <v>42621.333333333336</v>
      </c>
      <c r="AW208" s="2">
        <f ca="1">RTD("ice.xl",,"*H",AW$4,AW$5,"",$AV208)</f>
        <v>56.506</v>
      </c>
      <c r="AX208" s="2">
        <f ca="1">RTD("ice.xl",,"*H",AW$4,AX$5,"",$AV208)</f>
        <v>2682860</v>
      </c>
      <c r="AY208" s="2" t="str">
        <f ca="1">RTD("ice.xl",,"*H",AW$4,AY$5,"",$AV208)</f>
        <v/>
      </c>
    </row>
    <row r="209" spans="48:51" x14ac:dyDescent="0.3">
      <c r="AV209" s="17">
        <f ca="1">RTD("ice.xl",,"*HT",_xll.FSJoinRange(AW4:AY4),"D[tl:Union]","300;6/27/2017","97")</f>
        <v>42620.333333333336</v>
      </c>
      <c r="AW209" s="2">
        <f ca="1">RTD("ice.xl",,"*H",AW$4,AW$5,"",$AV209)</f>
        <v>56.73</v>
      </c>
      <c r="AX209" s="2">
        <f ca="1">RTD("ice.xl",,"*H",AW$4,AX$5,"",$AV209)</f>
        <v>2363815</v>
      </c>
      <c r="AY209" s="2" t="str">
        <f ca="1">RTD("ice.xl",,"*H",AW$4,AY$5,"",$AV209)</f>
        <v/>
      </c>
    </row>
    <row r="210" spans="48:51" x14ac:dyDescent="0.3">
      <c r="AV210" s="17">
        <f ca="1">RTD("ice.xl",,"*HT",_xll.FSJoinRange(AW4:AY4),"D[tl:Union]","300;6/27/2017","96")</f>
        <v>42619.333333333336</v>
      </c>
      <c r="AW210" s="2">
        <f ca="1">RTD("ice.xl",,"*H",AW$4,AW$5,"",$AV210)</f>
        <v>56.972000000000001</v>
      </c>
      <c r="AX210" s="2">
        <f ca="1">RTD("ice.xl",,"*H",AW$4,AX$5,"",$AV210)</f>
        <v>3947770</v>
      </c>
      <c r="AY210" s="2" t="str">
        <f ca="1">RTD("ice.xl",,"*H",AW$4,AY$5,"",$AV210)</f>
        <v/>
      </c>
    </row>
    <row r="211" spans="48:51" x14ac:dyDescent="0.3">
      <c r="AV211" s="17">
        <f ca="1">RTD("ice.xl",,"*HT",_xll.FSJoinRange(AW4:AY4),"D[tl:Union]","300;6/27/2017","95")</f>
        <v>42615.333333333336</v>
      </c>
      <c r="AW211" s="2">
        <f ca="1">RTD("ice.xl",,"*H",AW$4,AW$5,"",$AV211)</f>
        <v>57.073999999999998</v>
      </c>
      <c r="AX211" s="2">
        <f ca="1">RTD("ice.xl",,"*H",AW$4,AX$5,"",$AV211)</f>
        <v>1920840</v>
      </c>
      <c r="AY211" s="2" t="str">
        <f ca="1">RTD("ice.xl",,"*H",AW$4,AY$5,"",$AV211)</f>
        <v/>
      </c>
    </row>
    <row r="212" spans="48:51" x14ac:dyDescent="0.3">
      <c r="AV212" s="17">
        <f ca="1">RTD("ice.xl",,"*HT",_xll.FSJoinRange(AW4:AY4),"D[tl:Union]","300;6/27/2017","94")</f>
        <v>42614.333333333336</v>
      </c>
      <c r="AW212" s="2">
        <f ca="1">RTD("ice.xl",,"*H",AW$4,AW$5,"",$AV212)</f>
        <v>56.87</v>
      </c>
      <c r="AX212" s="2">
        <f ca="1">RTD("ice.xl",,"*H",AW$4,AX$5,"",$AV212)</f>
        <v>3703655</v>
      </c>
      <c r="AY212" s="2" t="str">
        <f ca="1">RTD("ice.xl",,"*H",AW$4,AY$5,"",$AV212)</f>
        <v/>
      </c>
    </row>
    <row r="213" spans="48:51" x14ac:dyDescent="0.3">
      <c r="AV213" s="17">
        <f ca="1">RTD("ice.xl",,"*HT",_xll.FSJoinRange(AW4:AY4),"D[tl:Union]","300;6/27/2017","93")</f>
        <v>42613.333333333336</v>
      </c>
      <c r="AW213" s="2">
        <f ca="1">RTD("ice.xl",,"*H",AW$4,AW$5,"",$AV213)</f>
        <v>56.404000000000003</v>
      </c>
      <c r="AX213" s="2">
        <f ca="1">RTD("ice.xl",,"*H",AW$4,AX$5,"",$AV213)</f>
        <v>3155815</v>
      </c>
      <c r="AY213" s="2" t="str">
        <f ca="1">RTD("ice.xl",,"*H",AW$4,AY$5,"",$AV213)</f>
        <v/>
      </c>
    </row>
    <row r="214" spans="48:51" x14ac:dyDescent="0.3">
      <c r="AV214" s="17">
        <f ca="1">RTD("ice.xl",,"*HT",_xll.FSJoinRange(AW4:AY4),"D[tl:Union]","300;6/27/2017","92")</f>
        <v>42612.333333333336</v>
      </c>
      <c r="AW214" s="2">
        <f ca="1">RTD("ice.xl",,"*H",AW$4,AW$5,"",$AV214)</f>
        <v>55.991999999999997</v>
      </c>
      <c r="AX214" s="2">
        <f ca="1">RTD("ice.xl",,"*H",AW$4,AX$5,"",$AV214)</f>
        <v>2975195</v>
      </c>
      <c r="AY214" s="2" t="str">
        <f ca="1">RTD("ice.xl",,"*H",AW$4,AY$5,"",$AV214)</f>
        <v/>
      </c>
    </row>
    <row r="215" spans="48:51" x14ac:dyDescent="0.3">
      <c r="AV215" s="17">
        <f ca="1">RTD("ice.xl",,"*HT",_xll.FSJoinRange(AW4:AY4),"D[tl:Union]","300;6/27/2017","91")</f>
        <v>42611.333333333336</v>
      </c>
      <c r="AW215" s="2">
        <f ca="1">RTD("ice.xl",,"*H",AW$4,AW$5,"",$AV215)</f>
        <v>55.712000000000003</v>
      </c>
      <c r="AX215" s="2">
        <f ca="1">RTD("ice.xl",,"*H",AW$4,AX$5,"",$AV215)</f>
        <v>2274290</v>
      </c>
      <c r="AY215" s="2" t="str">
        <f ca="1">RTD("ice.xl",,"*H",AW$4,AY$5,"",$AV215)</f>
        <v/>
      </c>
    </row>
    <row r="216" spans="48:51" x14ac:dyDescent="0.3">
      <c r="AV216" s="17">
        <f ca="1">RTD("ice.xl",,"*HT",_xll.FSJoinRange(AW4:AY4),"D[tl:Union]","300;6/27/2017","90")</f>
        <v>42608.333333333336</v>
      </c>
      <c r="AW216" s="2">
        <f ca="1">RTD("ice.xl",,"*H",AW$4,AW$5,"",$AV216)</f>
        <v>55.536000000000001</v>
      </c>
      <c r="AX216" s="2">
        <f ca="1">RTD("ice.xl",,"*H",AW$4,AX$5,"",$AV216)</f>
        <v>1678040</v>
      </c>
      <c r="AY216" s="2" t="str">
        <f ca="1">RTD("ice.xl",,"*H",AW$4,AY$5,"",$AV216)</f>
        <v/>
      </c>
    </row>
    <row r="217" spans="48:51" x14ac:dyDescent="0.3">
      <c r="AV217" s="17">
        <f ca="1">RTD("ice.xl",,"*HT",_xll.FSJoinRange(AW4:AY4),"D[tl:Union]","300;6/27/2017","89")</f>
        <v>42607.333333333336</v>
      </c>
      <c r="AW217" s="2">
        <f ca="1">RTD("ice.xl",,"*H",AW$4,AW$5,"",$AV217)</f>
        <v>55.436</v>
      </c>
      <c r="AX217" s="2">
        <f ca="1">RTD("ice.xl",,"*H",AW$4,AX$5,"",$AV217)</f>
        <v>1891100</v>
      </c>
      <c r="AY217" s="2" t="str">
        <f ca="1">RTD("ice.xl",,"*H",AW$4,AY$5,"",$AV217)</f>
        <v/>
      </c>
    </row>
    <row r="218" spans="48:51" x14ac:dyDescent="0.3">
      <c r="AV218" s="17">
        <f ca="1">RTD("ice.xl",,"*HT",_xll.FSJoinRange(AW4:AY4),"D[tl:Union]","300;6/27/2017","88")</f>
        <v>42606.333333333336</v>
      </c>
      <c r="AW218" s="2">
        <f ca="1">RTD("ice.xl",,"*H",AW$4,AW$5,"",$AV218)</f>
        <v>55.427999999999997</v>
      </c>
      <c r="AX218" s="2">
        <f ca="1">RTD("ice.xl",,"*H",AW$4,AX$5,"",$AV218)</f>
        <v>2213810</v>
      </c>
      <c r="AY218" s="2" t="str">
        <f ca="1">RTD("ice.xl",,"*H",AW$4,AY$5,"",$AV218)</f>
        <v/>
      </c>
    </row>
    <row r="219" spans="48:51" x14ac:dyDescent="0.3">
      <c r="AV219" s="17">
        <f ca="1">RTD("ice.xl",,"*HT",_xll.FSJoinRange(AW4:AY4),"D[tl:Union]","300;6/27/2017","87")</f>
        <v>42605.333333333336</v>
      </c>
      <c r="AW219" s="2">
        <f ca="1">RTD("ice.xl",,"*H",AW$4,AW$5,"",$AV219)</f>
        <v>55.776000000000003</v>
      </c>
      <c r="AX219" s="2">
        <f ca="1">RTD("ice.xl",,"*H",AW$4,AX$5,"",$AV219)</f>
        <v>1542150</v>
      </c>
      <c r="AY219" s="2" t="str">
        <f ca="1">RTD("ice.xl",,"*H",AW$4,AY$5,"",$AV219)</f>
        <v/>
      </c>
    </row>
    <row r="220" spans="48:51" x14ac:dyDescent="0.3">
      <c r="AV220" s="17">
        <f ca="1">RTD("ice.xl",,"*HT",_xll.FSJoinRange(AW4:AY4),"D[tl:Union]","300;6/27/2017","86")</f>
        <v>42604.333333333336</v>
      </c>
      <c r="AW220" s="2">
        <f ca="1">RTD("ice.xl",,"*H",AW$4,AW$5,"",$AV220)</f>
        <v>55.898000000000003</v>
      </c>
      <c r="AX220" s="2">
        <f ca="1">RTD("ice.xl",,"*H",AW$4,AX$5,"",$AV220)</f>
        <v>1675960</v>
      </c>
      <c r="AY220" s="2" t="str">
        <f ca="1">RTD("ice.xl",,"*H",AW$4,AY$5,"",$AV220)</f>
        <v/>
      </c>
    </row>
    <row r="221" spans="48:51" x14ac:dyDescent="0.3">
      <c r="AV221" s="17">
        <f ca="1">RTD("ice.xl",,"*HT",_xll.FSJoinRange(AW4:AY4),"D[tl:Union]","300;6/27/2017","85")</f>
        <v>42601.333333333336</v>
      </c>
      <c r="AW221" s="2">
        <f ca="1">RTD("ice.xl",,"*H",AW$4,AW$5,"",$AV221)</f>
        <v>56.066000000000003</v>
      </c>
      <c r="AX221" s="2">
        <f ca="1">RTD("ice.xl",,"*H",AW$4,AX$5,"",$AV221)</f>
        <v>1828335</v>
      </c>
      <c r="AY221" s="2" t="str">
        <f ca="1">RTD("ice.xl",,"*H",AW$4,AY$5,"",$AV221)</f>
        <v/>
      </c>
    </row>
    <row r="222" spans="48:51" x14ac:dyDescent="0.3">
      <c r="AV222" s="17">
        <f ca="1">RTD("ice.xl",,"*HT",_xll.FSJoinRange(AW4:AY4),"D[tl:Union]","300;6/27/2017","84")</f>
        <v>42600.333333333336</v>
      </c>
      <c r="AW222" s="2">
        <f ca="1">RTD("ice.xl",,"*H",AW$4,AW$5,"",$AV222)</f>
        <v>56.271999999999998</v>
      </c>
      <c r="AX222" s="2">
        <f ca="1">RTD("ice.xl",,"*H",AW$4,AX$5,"",$AV222)</f>
        <v>1989090</v>
      </c>
      <c r="AY222" s="2" t="str">
        <f ca="1">RTD("ice.xl",,"*H",AW$4,AY$5,"",$AV222)</f>
        <v/>
      </c>
    </row>
    <row r="223" spans="48:51" x14ac:dyDescent="0.3">
      <c r="AV223" s="17">
        <f ca="1">RTD("ice.xl",,"*HT",_xll.FSJoinRange(AW4:AY4),"D[tl:Union]","300;6/27/2017","83")</f>
        <v>42599.333333333336</v>
      </c>
      <c r="AW223" s="2">
        <f ca="1">RTD("ice.xl",,"*H",AW$4,AW$5,"",$AV223)</f>
        <v>56.304000000000002</v>
      </c>
      <c r="AX223" s="2">
        <f ca="1">RTD("ice.xl",,"*H",AW$4,AX$5,"",$AV223)</f>
        <v>2057650</v>
      </c>
      <c r="AY223" s="2" t="str">
        <f ca="1">RTD("ice.xl",,"*H",AW$4,AY$5,"",$AV223)</f>
        <v/>
      </c>
    </row>
    <row r="224" spans="48:51" x14ac:dyDescent="0.3">
      <c r="AV224" s="17">
        <f ca="1">RTD("ice.xl",,"*HT",_xll.FSJoinRange(AW4:AY4),"D[tl:Union]","300;6/27/2017","82")</f>
        <v>42598.333333333336</v>
      </c>
      <c r="AW224" s="2">
        <f ca="1">RTD("ice.xl",,"*H",AW$4,AW$5,"",$AV224)</f>
        <v>55.622</v>
      </c>
      <c r="AX224" s="2">
        <f ca="1">RTD("ice.xl",,"*H",AW$4,AX$5,"",$AV224)</f>
        <v>1932345</v>
      </c>
      <c r="AY224" s="2" t="str">
        <f ca="1">RTD("ice.xl",,"*H",AW$4,AY$5,"",$AV224)</f>
        <v/>
      </c>
    </row>
    <row r="225" spans="48:51" x14ac:dyDescent="0.3">
      <c r="AV225" s="17">
        <f ca="1">RTD("ice.xl",,"*HT",_xll.FSJoinRange(AW4:AY4),"D[tl:Union]","300;6/27/2017","81")</f>
        <v>42597.333333333336</v>
      </c>
      <c r="AW225" s="2">
        <f ca="1">RTD("ice.xl",,"*H",AW$4,AW$5,"",$AV225)</f>
        <v>56.003999999999998</v>
      </c>
      <c r="AX225" s="2">
        <f ca="1">RTD("ice.xl",,"*H",AW$4,AX$5,"",$AV225)</f>
        <v>2393630</v>
      </c>
      <c r="AY225" s="2" t="str">
        <f ca="1">RTD("ice.xl",,"*H",AW$4,AY$5,"",$AV225)</f>
        <v/>
      </c>
    </row>
    <row r="226" spans="48:51" x14ac:dyDescent="0.3">
      <c r="AV226" s="17">
        <f ca="1">RTD("ice.xl",,"*HT",_xll.FSJoinRange(AW4:AY4),"D[tl:Union]","300;6/27/2017","80")</f>
        <v>42594.333333333336</v>
      </c>
      <c r="AW226" s="2">
        <f ca="1">RTD("ice.xl",,"*H",AW$4,AW$5,"",$AV226)</f>
        <v>55.728000000000002</v>
      </c>
      <c r="AX226" s="2">
        <f ca="1">RTD("ice.xl",,"*H",AW$4,AX$5,"",$AV226)</f>
        <v>1717190</v>
      </c>
      <c r="AY226" s="2" t="str">
        <f ca="1">RTD("ice.xl",,"*H",AW$4,AY$5,"",$AV226)</f>
        <v/>
      </c>
    </row>
    <row r="227" spans="48:51" x14ac:dyDescent="0.3">
      <c r="AV227" s="17">
        <f ca="1">RTD("ice.xl",,"*HT",_xll.FSJoinRange(AW4:AY4),"D[tl:Union]","300;6/27/2017","79")</f>
        <v>42593.333333333336</v>
      </c>
      <c r="AW227" s="2">
        <f ca="1">RTD("ice.xl",,"*H",AW$4,AW$5,"",$AV227)</f>
        <v>55.72</v>
      </c>
      <c r="AX227" s="2">
        <f ca="1">RTD("ice.xl",,"*H",AW$4,AX$5,"",$AV227)</f>
        <v>1798230</v>
      </c>
      <c r="AY227" s="2" t="str">
        <f ca="1">RTD("ice.xl",,"*H",AW$4,AY$5,"",$AV227)</f>
        <v/>
      </c>
    </row>
    <row r="228" spans="48:51" x14ac:dyDescent="0.3">
      <c r="AV228" s="17">
        <f ca="1">RTD("ice.xl",,"*HT",_xll.FSJoinRange(AW4:AY4),"D[tl:Union]","300;6/27/2017","78")</f>
        <v>42592.333333333336</v>
      </c>
      <c r="AW228" s="2">
        <f ca="1">RTD("ice.xl",,"*H",AW$4,AW$5,"",$AV228)</f>
        <v>55.366</v>
      </c>
      <c r="AX228" s="2">
        <f ca="1">RTD("ice.xl",,"*H",AW$4,AX$5,"",$AV228)</f>
        <v>1937200</v>
      </c>
      <c r="AY228" s="2" t="str">
        <f ca="1">RTD("ice.xl",,"*H",AW$4,AY$5,"",$AV228)</f>
        <v/>
      </c>
    </row>
    <row r="229" spans="48:51" x14ac:dyDescent="0.3">
      <c r="AV229" s="17">
        <f ca="1">RTD("ice.xl",,"*HT",_xll.FSJoinRange(AW4:AY4),"D[tl:Union]","300;6/27/2017","77")</f>
        <v>42591.333333333336</v>
      </c>
      <c r="AW229" s="2">
        <f ca="1">RTD("ice.xl",,"*H",AW$4,AW$5,"",$AV229)</f>
        <v>55.393999999999998</v>
      </c>
      <c r="AX229" s="2">
        <f ca="1">RTD("ice.xl",,"*H",AW$4,AX$5,"",$AV229)</f>
        <v>1960025</v>
      </c>
      <c r="AY229" s="2" t="str">
        <f ca="1">RTD("ice.xl",,"*H",AW$4,AY$5,"",$AV229)</f>
        <v/>
      </c>
    </row>
    <row r="230" spans="48:51" x14ac:dyDescent="0.3">
      <c r="AV230" s="17">
        <f ca="1">RTD("ice.xl",,"*HT",_xll.FSJoinRange(AW4:AY4),"D[tl:Union]","300;6/27/2017","76")</f>
        <v>42590.333333333336</v>
      </c>
      <c r="AW230" s="2">
        <f ca="1">RTD("ice.xl",,"*H",AW$4,AW$5,"",$AV230)</f>
        <v>55.36</v>
      </c>
      <c r="AX230" s="2">
        <f ca="1">RTD("ice.xl",,"*H",AW$4,AX$5,"",$AV230)</f>
        <v>2953070</v>
      </c>
      <c r="AY230" s="2" t="str">
        <f ca="1">RTD("ice.xl",,"*H",AW$4,AY$5,"",$AV230)</f>
        <v/>
      </c>
    </row>
    <row r="231" spans="48:51" x14ac:dyDescent="0.3">
      <c r="AV231" s="17">
        <f ca="1">RTD("ice.xl",,"*HT",_xll.FSJoinRange(AW4:AY4),"D[tl:Union]","300;6/27/2017","75")</f>
        <v>42587.333333333336</v>
      </c>
      <c r="AW231" s="2">
        <f ca="1">RTD("ice.xl",,"*H",AW$4,AW$5,"",$AV231)</f>
        <v>55.613999999999997</v>
      </c>
      <c r="AX231" s="2">
        <f ca="1">RTD("ice.xl",,"*H",AW$4,AX$5,"",$AV231)</f>
        <v>3286680</v>
      </c>
      <c r="AY231" s="2" t="str">
        <f ca="1">RTD("ice.xl",,"*H",AW$4,AY$5,"",$AV231)</f>
        <v/>
      </c>
    </row>
    <row r="232" spans="48:51" x14ac:dyDescent="0.3">
      <c r="AV232" s="17">
        <f ca="1">RTD("ice.xl",,"*HT",_xll.FSJoinRange(AW4:AY4),"D[tl:Union]","300;6/27/2017","74")</f>
        <v>42586.333333333336</v>
      </c>
      <c r="AW232" s="2">
        <f ca="1">RTD("ice.xl",,"*H",AW$4,AW$5,"",$AV232)</f>
        <v>55.667999999999999</v>
      </c>
      <c r="AX232" s="2">
        <f ca="1">RTD("ice.xl",,"*H",AW$4,AX$5,"",$AV232)</f>
        <v>3667720</v>
      </c>
      <c r="AY232" s="2" t="str">
        <f ca="1">RTD("ice.xl",,"*H",AW$4,AY$5,"",$AV232)</f>
        <v/>
      </c>
    </row>
    <row r="233" spans="48:51" x14ac:dyDescent="0.3">
      <c r="AV233" s="17">
        <f ca="1">RTD("ice.xl",,"*HT",_xll.FSJoinRange(AW4:AY4),"D[tl:Union]","300;6/27/2017","73")</f>
        <v>42585.333333333336</v>
      </c>
      <c r="AW233" s="2">
        <f ca="1">RTD("ice.xl",,"*H",AW$4,AW$5,"",$AV233)</f>
        <v>55.603999999999999</v>
      </c>
      <c r="AX233" s="2">
        <f ca="1">RTD("ice.xl",,"*H",AW$4,AX$5,"",$AV233)</f>
        <v>10269435</v>
      </c>
      <c r="AY233" s="2" t="str">
        <f ca="1">RTD("ice.xl",,"*H",AW$4,AY$5,"",$AV233)</f>
        <v/>
      </c>
    </row>
    <row r="234" spans="48:51" x14ac:dyDescent="0.3">
      <c r="AV234" s="17">
        <f ca="1">RTD("ice.xl",,"*HT",_xll.FSJoinRange(AW4:AY4),"D[tl:Union]","300;6/27/2017","72")</f>
        <v>42584.333333333336</v>
      </c>
      <c r="AW234" s="2">
        <f ca="1">RTD("ice.xl",,"*H",AW$4,AW$5,"",$AV234)</f>
        <v>52.786000000000001</v>
      </c>
      <c r="AX234" s="2">
        <f ca="1">RTD("ice.xl",,"*H",AW$4,AX$5,"",$AV234)</f>
        <v>3098725</v>
      </c>
      <c r="AY234" s="2" t="str">
        <f ca="1">RTD("ice.xl",,"*H",AW$4,AY$5,"",$AV234)</f>
        <v/>
      </c>
    </row>
    <row r="235" spans="48:51" x14ac:dyDescent="0.3">
      <c r="AV235" s="17">
        <f ca="1">RTD("ice.xl",,"*HT",_xll.FSJoinRange(AW4:AY4),"D[tl:Union]","300;6/27/2017","71")</f>
        <v>42583.333333333336</v>
      </c>
      <c r="AW235" s="2">
        <f ca="1">RTD("ice.xl",,"*H",AW$4,AW$5,"",$AV235)</f>
        <v>52.926000000000002</v>
      </c>
      <c r="AX235" s="2">
        <f ca="1">RTD("ice.xl",,"*H",AW$4,AX$5,"",$AV235)</f>
        <v>2237030</v>
      </c>
      <c r="AY235" s="2" t="str">
        <f ca="1">RTD("ice.xl",,"*H",AW$4,AY$5,"",$AV235)</f>
        <v/>
      </c>
    </row>
    <row r="236" spans="48:51" x14ac:dyDescent="0.3">
      <c r="AV236" s="17">
        <f ca="1">RTD("ice.xl",,"*HT",_xll.FSJoinRange(AW4:AY4),"D[tl:Union]","300;6/27/2017","70")</f>
        <v>42580.333333333336</v>
      </c>
      <c r="AW236" s="2">
        <f ca="1">RTD("ice.xl",,"*H",AW$4,AW$5,"",$AV236)</f>
        <v>52.84</v>
      </c>
      <c r="AX236" s="2">
        <f ca="1">RTD("ice.xl",,"*H",AW$4,AX$5,"",$AV236)</f>
        <v>1873575</v>
      </c>
      <c r="AY236" s="2" t="str">
        <f ca="1">RTD("ice.xl",,"*H",AW$4,AY$5,"",$AV236)</f>
        <v/>
      </c>
    </row>
    <row r="237" spans="48:51" x14ac:dyDescent="0.3">
      <c r="AV237" s="17">
        <f ca="1">RTD("ice.xl",,"*HT",_xll.FSJoinRange(AW4:AY4),"D[tl:Union]","300;6/27/2017","69")</f>
        <v>42579.333333333336</v>
      </c>
      <c r="AW237" s="2">
        <f ca="1">RTD("ice.xl",,"*H",AW$4,AW$5,"",$AV237)</f>
        <v>53.052</v>
      </c>
      <c r="AX237" s="2">
        <f ca="1">RTD("ice.xl",,"*H",AW$4,AX$5,"",$AV237)</f>
        <v>2935805</v>
      </c>
      <c r="AY237" s="2" t="str">
        <f ca="1">RTD("ice.xl",,"*H",AW$4,AY$5,"",$AV237)</f>
        <v/>
      </c>
    </row>
    <row r="238" spans="48:51" x14ac:dyDescent="0.3">
      <c r="AV238" s="17">
        <f ca="1">RTD("ice.xl",,"*HT",_xll.FSJoinRange(AW4:AY4),"D[tl:Union]","300;6/27/2017","68")</f>
        <v>42578.333333333336</v>
      </c>
      <c r="AW238" s="2">
        <f ca="1">RTD("ice.xl",,"*H",AW$4,AW$5,"",$AV238)</f>
        <v>52.808</v>
      </c>
      <c r="AX238" s="2">
        <f ca="1">RTD("ice.xl",,"*H",AW$4,AX$5,"",$AV238)</f>
        <v>1866540</v>
      </c>
      <c r="AY238" s="2" t="str">
        <f ca="1">RTD("ice.xl",,"*H",AW$4,AY$5,"",$AV238)</f>
        <v/>
      </c>
    </row>
    <row r="239" spans="48:51" x14ac:dyDescent="0.3">
      <c r="AV239" s="17">
        <f ca="1">RTD("ice.xl",,"*HT",_xll.FSJoinRange(AW4:AY4),"D[tl:Union]","300;6/27/2017","67")</f>
        <v>42577.333333333336</v>
      </c>
      <c r="AW239" s="2">
        <f ca="1">RTD("ice.xl",,"*H",AW$4,AW$5,"",$AV239)</f>
        <v>52.42</v>
      </c>
      <c r="AX239" s="2">
        <f ca="1">RTD("ice.xl",,"*H",AW$4,AX$5,"",$AV239)</f>
        <v>1285935</v>
      </c>
      <c r="AY239" s="2" t="str">
        <f ca="1">RTD("ice.xl",,"*H",AW$4,AY$5,"",$AV239)</f>
        <v/>
      </c>
    </row>
    <row r="240" spans="48:51" x14ac:dyDescent="0.3">
      <c r="AV240" s="17">
        <f ca="1">RTD("ice.xl",,"*HT",_xll.FSJoinRange(AW4:AY4),"D[tl:Union]","300;6/27/2017","66")</f>
        <v>42576.333333333336</v>
      </c>
      <c r="AW240" s="2">
        <f ca="1">RTD("ice.xl",,"*H",AW$4,AW$5,"",$AV240)</f>
        <v>52.682000000000002</v>
      </c>
      <c r="AX240" s="2">
        <f ca="1">RTD("ice.xl",,"*H",AW$4,AX$5,"",$AV240)</f>
        <v>1520320</v>
      </c>
      <c r="AY240" s="2" t="str">
        <f ca="1">RTD("ice.xl",,"*H",AW$4,AY$5,"",$AV240)</f>
        <v/>
      </c>
    </row>
    <row r="241" spans="48:51" x14ac:dyDescent="0.3">
      <c r="AV241" s="17">
        <f ca="1">RTD("ice.xl",,"*HT",_xll.FSJoinRange(AW4:AY4),"D[tl:Union]","300;6/27/2017","65")</f>
        <v>42573.333333333336</v>
      </c>
      <c r="AW241" s="2">
        <f ca="1">RTD("ice.xl",,"*H",AW$4,AW$5,"",$AV241)</f>
        <v>52.634</v>
      </c>
      <c r="AX241" s="2">
        <f ca="1">RTD("ice.xl",,"*H",AW$4,AX$5,"",$AV241)</f>
        <v>1402055</v>
      </c>
      <c r="AY241" s="2" t="str">
        <f ca="1">RTD("ice.xl",,"*H",AW$4,AY$5,"",$AV241)</f>
        <v/>
      </c>
    </row>
    <row r="242" spans="48:51" x14ac:dyDescent="0.3">
      <c r="AV242" s="17">
        <f ca="1">RTD("ice.xl",,"*HT",_xll.FSJoinRange(AW4:AY4),"D[tl:Union]","300;6/27/2017","64")</f>
        <v>42572.333333333336</v>
      </c>
      <c r="AW242" s="2">
        <f ca="1">RTD("ice.xl",,"*H",AW$4,AW$5,"",$AV242)</f>
        <v>52.488</v>
      </c>
      <c r="AX242" s="2">
        <f ca="1">RTD("ice.xl",,"*H",AW$4,AX$5,"",$AV242)</f>
        <v>1479755</v>
      </c>
      <c r="AY242" s="2" t="str">
        <f ca="1">RTD("ice.xl",,"*H",AW$4,AY$5,"",$AV242)</f>
        <v/>
      </c>
    </row>
    <row r="243" spans="48:51" x14ac:dyDescent="0.3">
      <c r="AV243" s="17">
        <f ca="1">RTD("ice.xl",,"*HT",_xll.FSJoinRange(AW4:AY4),"D[tl:Union]","300;6/27/2017","63")</f>
        <v>42571.333333333336</v>
      </c>
      <c r="AW243" s="2">
        <f ca="1">RTD("ice.xl",,"*H",AW$4,AW$5,"",$AV243)</f>
        <v>52.54</v>
      </c>
      <c r="AX243" s="2">
        <f ca="1">RTD("ice.xl",,"*H",AW$4,AX$5,"",$AV243)</f>
        <v>3431955</v>
      </c>
      <c r="AY243" s="2" t="str">
        <f ca="1">RTD("ice.xl",,"*H",AW$4,AY$5,"",$AV243)</f>
        <v/>
      </c>
    </row>
    <row r="244" spans="48:51" x14ac:dyDescent="0.3">
      <c r="AV244" s="17">
        <f ca="1">RTD("ice.xl",,"*HT",_xll.FSJoinRange(AW4:AY4),"D[tl:Union]","300;6/27/2017","62")</f>
        <v>42570.333333333336</v>
      </c>
      <c r="AW244" s="2">
        <f ca="1">RTD("ice.xl",,"*H",AW$4,AW$5,"",$AV244)</f>
        <v>52.834000000000003</v>
      </c>
      <c r="AX244" s="2">
        <f ca="1">RTD("ice.xl",,"*H",AW$4,AX$5,"",$AV244)</f>
        <v>1545140</v>
      </c>
      <c r="AY244" s="2" t="str">
        <f ca="1">RTD("ice.xl",,"*H",AW$4,AY$5,"",$AV244)</f>
        <v/>
      </c>
    </row>
    <row r="245" spans="48:51" x14ac:dyDescent="0.3">
      <c r="AV245" s="17">
        <f ca="1">RTD("ice.xl",,"*HT",_xll.FSJoinRange(AW4:AY4),"D[tl:Union]","300;6/27/2017","61")</f>
        <v>42569.333333333336</v>
      </c>
      <c r="AW245" s="2">
        <f ca="1">RTD("ice.xl",,"*H",AW$4,AW$5,"",$AV245)</f>
        <v>52.582000000000001</v>
      </c>
      <c r="AX245" s="2">
        <f ca="1">RTD("ice.xl",,"*H",AW$4,AX$5,"",$AV245)</f>
        <v>2019875</v>
      </c>
      <c r="AY245" s="2" t="str">
        <f ca="1">RTD("ice.xl",,"*H",AW$4,AY$5,"",$AV245)</f>
        <v/>
      </c>
    </row>
    <row r="246" spans="48:51" x14ac:dyDescent="0.3">
      <c r="AV246" s="17">
        <f ca="1">RTD("ice.xl",,"*HT",_xll.FSJoinRange(AW4:AY4),"D[tl:Union]","300;6/27/2017","60")</f>
        <v>42566.333333333336</v>
      </c>
      <c r="AW246" s="2">
        <f ca="1">RTD("ice.xl",,"*H",AW$4,AW$5,"",$AV246)</f>
        <v>52.61</v>
      </c>
      <c r="AX246" s="2">
        <f ca="1">RTD("ice.xl",,"*H",AW$4,AX$5,"",$AV246)</f>
        <v>2297370</v>
      </c>
      <c r="AY246" s="2" t="str">
        <f ca="1">RTD("ice.xl",,"*H",AW$4,AY$5,"",$AV246)</f>
        <v/>
      </c>
    </row>
    <row r="247" spans="48:51" x14ac:dyDescent="0.3">
      <c r="AV247" s="17">
        <f ca="1">RTD("ice.xl",,"*HT",_xll.FSJoinRange(AW4:AY4),"D[tl:Union]","300;6/27/2017","59")</f>
        <v>42565.333333333336</v>
      </c>
      <c r="AW247" s="2">
        <f ca="1">RTD("ice.xl",,"*H",AW$4,AW$5,"",$AV247)</f>
        <v>52.508000000000003</v>
      </c>
      <c r="AX247" s="2">
        <f ca="1">RTD("ice.xl",,"*H",AW$4,AX$5,"",$AV247)</f>
        <v>1977915</v>
      </c>
      <c r="AY247" s="2" t="str">
        <f ca="1">RTD("ice.xl",,"*H",AW$4,AY$5,"",$AV247)</f>
        <v/>
      </c>
    </row>
    <row r="248" spans="48:51" x14ac:dyDescent="0.3">
      <c r="AV248" s="17">
        <f ca="1">RTD("ice.xl",,"*HT",_xll.FSJoinRange(AW4:AY4),"D[tl:Union]","300;6/27/2017","58")</f>
        <v>42564.333333333336</v>
      </c>
      <c r="AW248" s="2">
        <f ca="1">RTD("ice.xl",,"*H",AW$4,AW$5,"",$AV248)</f>
        <v>51.915999999999997</v>
      </c>
      <c r="AX248" s="2">
        <f ca="1">RTD("ice.xl",,"*H",AW$4,AX$5,"",$AV248)</f>
        <v>1821450</v>
      </c>
      <c r="AY248" s="2" t="str">
        <f ca="1">RTD("ice.xl",,"*H",AW$4,AY$5,"",$AV248)</f>
        <v/>
      </c>
    </row>
    <row r="249" spans="48:51" x14ac:dyDescent="0.3">
      <c r="AV249" s="17">
        <f ca="1">RTD("ice.xl",,"*HT",_xll.FSJoinRange(AW4:AY4),"D[tl:Union]","300;6/27/2017","57")</f>
        <v>42563.333333333336</v>
      </c>
      <c r="AW249" s="2">
        <f ca="1">RTD("ice.xl",,"*H",AW$4,AW$5,"",$AV249)</f>
        <v>52.095999999999997</v>
      </c>
      <c r="AX249" s="2">
        <f ca="1">RTD("ice.xl",,"*H",AW$4,AX$5,"",$AV249)</f>
        <v>3095475</v>
      </c>
      <c r="AY249" s="2" t="str">
        <f ca="1">RTD("ice.xl",,"*H",AW$4,AY$5,"",$AV249)</f>
        <v/>
      </c>
    </row>
    <row r="250" spans="48:51" x14ac:dyDescent="0.3">
      <c r="AV250" s="17">
        <f ca="1">RTD("ice.xl",,"*HT",_xll.FSJoinRange(AW4:AY4),"D[tl:Union]","300;6/27/2017","56")</f>
        <v>42562.333333333336</v>
      </c>
      <c r="AW250" s="2">
        <f ca="1">RTD("ice.xl",,"*H",AW$4,AW$5,"",$AV250)</f>
        <v>51.588000000000001</v>
      </c>
      <c r="AX250" s="2">
        <f ca="1">RTD("ice.xl",,"*H",AW$4,AX$5,"",$AV250)</f>
        <v>1897390</v>
      </c>
      <c r="AY250" s="2" t="str">
        <f ca="1">RTD("ice.xl",,"*H",AW$4,AY$5,"",$AV250)</f>
        <v/>
      </c>
    </row>
    <row r="251" spans="48:51" x14ac:dyDescent="0.3">
      <c r="AV251" s="17">
        <f ca="1">RTD("ice.xl",,"*HT",_xll.FSJoinRange(AW4:AY4),"D[tl:Union]","300;6/27/2017","55")</f>
        <v>42559.333333333336</v>
      </c>
      <c r="AW251" s="2">
        <f ca="1">RTD("ice.xl",,"*H",AW$4,AW$5,"",$AV251)</f>
        <v>51.378</v>
      </c>
      <c r="AX251" s="2">
        <f ca="1">RTD("ice.xl",,"*H",AW$4,AX$5,"",$AV251)</f>
        <v>2346395</v>
      </c>
      <c r="AY251" s="2" t="str">
        <f ca="1">RTD("ice.xl",,"*H",AW$4,AY$5,"",$AV251)</f>
        <v/>
      </c>
    </row>
    <row r="252" spans="48:51" x14ac:dyDescent="0.3">
      <c r="AV252" s="17">
        <f ca="1">RTD("ice.xl",,"*HT",_xll.FSJoinRange(AW4:AY4),"D[tl:Union]","300;6/27/2017","54")</f>
        <v>42558.333333333336</v>
      </c>
      <c r="AW252" s="2">
        <f ca="1">RTD("ice.xl",,"*H",AW$4,AW$5,"",$AV252)</f>
        <v>50.792000000000002</v>
      </c>
      <c r="AX252" s="2">
        <f ca="1">RTD("ice.xl",,"*H",AW$4,AX$5,"",$AV252)</f>
        <v>3344590</v>
      </c>
      <c r="AY252" s="2" t="str">
        <f ca="1">RTD("ice.xl",,"*H",AW$4,AY$5,"",$AV252)</f>
        <v/>
      </c>
    </row>
    <row r="253" spans="48:51" x14ac:dyDescent="0.3">
      <c r="AV253" s="17">
        <f ca="1">RTD("ice.xl",,"*HT",_xll.FSJoinRange(AW4:AY4),"D[tl:Union]","300;6/27/2017","53")</f>
        <v>42557.333333333336</v>
      </c>
      <c r="AW253" s="2">
        <f ca="1">RTD("ice.xl",,"*H",AW$4,AW$5,"",$AV253)</f>
        <v>50.975999999999999</v>
      </c>
      <c r="AX253" s="2">
        <f ca="1">RTD("ice.xl",,"*H",AW$4,AX$5,"",$AV253)</f>
        <v>3859160</v>
      </c>
      <c r="AY253" s="2" t="str">
        <f ca="1">RTD("ice.xl",,"*H",AW$4,AY$5,"",$AV253)</f>
        <v/>
      </c>
    </row>
    <row r="254" spans="48:51" x14ac:dyDescent="0.3">
      <c r="AV254" s="17">
        <f ca="1">RTD("ice.xl",,"*HT",_xll.FSJoinRange(AW4:AY4),"D[tl:Union]","300;6/27/2017","52")</f>
        <v>42556.333333333336</v>
      </c>
      <c r="AW254" s="2">
        <f ca="1">RTD("ice.xl",,"*H",AW$4,AW$5,"",$AV254)</f>
        <v>50.973999999999997</v>
      </c>
      <c r="AX254" s="2">
        <f ca="1">RTD("ice.xl",,"*H",AW$4,AX$5,"",$AV254)</f>
        <v>2731475</v>
      </c>
      <c r="AY254" s="2" t="str">
        <f ca="1">RTD("ice.xl",,"*H",AW$4,AY$5,"",$AV254)</f>
        <v/>
      </c>
    </row>
    <row r="255" spans="48:51" x14ac:dyDescent="0.3">
      <c r="AV255" s="17">
        <f ca="1">RTD("ice.xl",,"*HT",_xll.FSJoinRange(AW4:AY4),"D[tl:Union]","300;6/27/2017","51")</f>
        <v>42552.333333333336</v>
      </c>
      <c r="AW255" s="2">
        <f ca="1">RTD("ice.xl",,"*H",AW$4,AW$5,"",$AV255)</f>
        <v>50.548000000000002</v>
      </c>
      <c r="AX255" s="2">
        <f ca="1">RTD("ice.xl",,"*H",AW$4,AX$5,"",$AV255)</f>
        <v>2740430</v>
      </c>
      <c r="AY255" s="2" t="str">
        <f ca="1">RTD("ice.xl",,"*H",AW$4,AY$5,"",$AV255)</f>
        <v/>
      </c>
    </row>
    <row r="256" spans="48:51" x14ac:dyDescent="0.3">
      <c r="AV256" s="17">
        <f ca="1">RTD("ice.xl",,"*HT",_xll.FSJoinRange(AW4:AY4),"D[tl:Union]","300;6/27/2017","50")</f>
        <v>42551.333333333336</v>
      </c>
      <c r="AW256" s="2">
        <f ca="1">RTD("ice.xl",,"*H",AW$4,AW$5,"",$AV256)</f>
        <v>51.192</v>
      </c>
      <c r="AX256" s="2">
        <f ca="1">RTD("ice.xl",,"*H",AW$4,AX$5,"",$AV256)</f>
        <v>4279825</v>
      </c>
      <c r="AY256" s="2" t="str">
        <f ca="1">RTD("ice.xl",,"*H",AW$4,AY$5,"",$AV256)</f>
        <v/>
      </c>
    </row>
    <row r="257" spans="48:51" x14ac:dyDescent="0.3">
      <c r="AV257" s="17">
        <f ca="1">RTD("ice.xl",,"*HT",_xll.FSJoinRange(AW4:AY4),"D[tl:Union]","300;6/27/2017","49")</f>
        <v>42550.333333333336</v>
      </c>
      <c r="AW257" s="2">
        <f ca="1">RTD("ice.xl",,"*H",AW$4,AW$5,"",$AV257)</f>
        <v>50.552</v>
      </c>
      <c r="AX257" s="2">
        <f ca="1">RTD("ice.xl",,"*H",AW$4,AX$5,"",$AV257)</f>
        <v>4377025</v>
      </c>
      <c r="AY257" s="2" t="str">
        <f ca="1">RTD("ice.xl",,"*H",AW$4,AY$5,"",$AV257)</f>
        <v/>
      </c>
    </row>
    <row r="258" spans="48:51" x14ac:dyDescent="0.3">
      <c r="AV258" s="17">
        <f ca="1">RTD("ice.xl",,"*HT",_xll.FSJoinRange(AW4:AY4),"D[tl:Union]","300;6/27/2017","48")</f>
        <v>42549.333333333336</v>
      </c>
      <c r="AW258" s="2">
        <f ca="1">RTD("ice.xl",,"*H",AW$4,AW$5,"",$AV258)</f>
        <v>49.665999999999997</v>
      </c>
      <c r="AX258" s="2">
        <f ca="1">RTD("ice.xl",,"*H",AW$4,AX$5,"",$AV258)</f>
        <v>5460390</v>
      </c>
      <c r="AY258" s="2" t="str">
        <f ca="1">RTD("ice.xl",,"*H",AW$4,AY$5,"",$AV258)</f>
        <v/>
      </c>
    </row>
    <row r="259" spans="48:51" x14ac:dyDescent="0.3">
      <c r="AV259" s="17">
        <f ca="1">RTD("ice.xl",,"*HT",_xll.FSJoinRange(AW4:AY4),"D[tl:Union]","300;6/27/2017","47")</f>
        <v>42548.333333333336</v>
      </c>
      <c r="AW259" s="2">
        <f ca="1">RTD("ice.xl",,"*H",AW$4,AW$5,"",$AV259)</f>
        <v>48.442</v>
      </c>
      <c r="AX259" s="2">
        <f ca="1">RTD("ice.xl",,"*H",AW$4,AX$5,"",$AV259)</f>
        <v>4479215</v>
      </c>
      <c r="AY259" s="2" t="str">
        <f ca="1">RTD("ice.xl",,"*H",AW$4,AY$5,"",$AV259)</f>
        <v/>
      </c>
    </row>
    <row r="260" spans="48:51" x14ac:dyDescent="0.3">
      <c r="AV260" s="17">
        <f ca="1">RTD("ice.xl",,"*HT",_xll.FSJoinRange(AW4:AY4),"D[tl:Union]","300;6/27/2017","46")</f>
        <v>42545.333333333336</v>
      </c>
      <c r="AW260" s="2">
        <f ca="1">RTD("ice.xl",,"*H",AW$4,AW$5,"",$AV260)</f>
        <v>49.28</v>
      </c>
      <c r="AX260" s="2">
        <f ca="1">RTD("ice.xl",,"*H",AW$4,AX$5,"",$AV260)</f>
        <v>12361620</v>
      </c>
      <c r="AY260" s="2" t="str">
        <f ca="1">RTD("ice.xl",,"*H",AW$4,AY$5,"",$AV260)</f>
        <v/>
      </c>
    </row>
    <row r="261" spans="48:51" x14ac:dyDescent="0.3">
      <c r="AV261" s="17">
        <f ca="1">RTD("ice.xl",,"*HT",_xll.FSJoinRange(AW4:AY4),"D[tl:Union]","300;6/27/2017","45")</f>
        <v>42544.333333333336</v>
      </c>
      <c r="AW261" s="2">
        <f ca="1">RTD("ice.xl",,"*H",AW$4,AW$5,"",$AV261)</f>
        <v>51.21</v>
      </c>
      <c r="AX261" s="2">
        <f ca="1">RTD("ice.xl",,"*H",AW$4,AX$5,"",$AV261)</f>
        <v>3844685</v>
      </c>
      <c r="AY261" s="2" t="str">
        <f ca="1">RTD("ice.xl",,"*H",AW$4,AY$5,"",$AV261)</f>
        <v/>
      </c>
    </row>
    <row r="262" spans="48:51" x14ac:dyDescent="0.3">
      <c r="AV262" s="17">
        <f ca="1">RTD("ice.xl",,"*HT",_xll.FSJoinRange(AW4:AY4),"D[tl:Union]","300;6/27/2017","44")</f>
        <v>42543.333333333336</v>
      </c>
      <c r="AW262" s="2">
        <f ca="1">RTD("ice.xl",,"*H",AW$4,AW$5,"",$AV262)</f>
        <v>50.4</v>
      </c>
      <c r="AX262" s="2">
        <f ca="1">RTD("ice.xl",,"*H",AW$4,AX$5,"",$AV262)</f>
        <v>3392450</v>
      </c>
      <c r="AY262" s="2" t="str">
        <f ca="1">RTD("ice.xl",,"*H",AW$4,AY$5,"",$AV262)</f>
        <v/>
      </c>
    </row>
    <row r="263" spans="48:51" x14ac:dyDescent="0.3">
      <c r="AV263" s="17">
        <f ca="1">RTD("ice.xl",,"*HT",_xll.FSJoinRange(AW4:AY4),"D[tl:Union]","300;6/27/2017","43")</f>
        <v>42542.333333333336</v>
      </c>
      <c r="AW263" s="2">
        <f ca="1">RTD("ice.xl",,"*H",AW$4,AW$5,"",$AV263)</f>
        <v>50.192</v>
      </c>
      <c r="AX263" s="2">
        <f ca="1">RTD("ice.xl",,"*H",AW$4,AX$5,"",$AV263)</f>
        <v>3463780</v>
      </c>
      <c r="AY263" s="2" t="str">
        <f ca="1">RTD("ice.xl",,"*H",AW$4,AY$5,"",$AV263)</f>
        <v/>
      </c>
    </row>
    <row r="264" spans="48:51" x14ac:dyDescent="0.3">
      <c r="AV264" s="17">
        <f ca="1">RTD("ice.xl",,"*HT",_xll.FSJoinRange(AW4:AY4),"D[tl:Union]","300;6/27/2017","42")</f>
        <v>42541.333333333336</v>
      </c>
      <c r="AW264" s="2">
        <f ca="1">RTD("ice.xl",,"*H",AW$4,AW$5,"",$AV264)</f>
        <v>50.44</v>
      </c>
      <c r="AX264" s="2">
        <f ca="1">RTD("ice.xl",,"*H",AW$4,AX$5,"",$AV264)</f>
        <v>4078385</v>
      </c>
      <c r="AY264" s="2" t="str">
        <f ca="1">RTD("ice.xl",,"*H",AW$4,AY$5,"",$AV264)</f>
        <v/>
      </c>
    </row>
    <row r="265" spans="48:51" x14ac:dyDescent="0.3">
      <c r="AV265" s="17">
        <f ca="1">RTD("ice.xl",,"*HT",_xll.FSJoinRange(AW4:AY4),"D[tl:Union]","300;6/27/2017","41")</f>
        <v>42538.333333333336</v>
      </c>
      <c r="AW265" s="2">
        <f ca="1">RTD("ice.xl",,"*H",AW$4,AW$5,"",$AV265)</f>
        <v>50.731999999999999</v>
      </c>
      <c r="AX265" s="2">
        <f ca="1">RTD("ice.xl",,"*H",AW$4,AX$5,"",$AV265)</f>
        <v>3280725</v>
      </c>
      <c r="AY265" s="2" t="str">
        <f ca="1">RTD("ice.xl",,"*H",AW$4,AY$5,"",$AV265)</f>
        <v/>
      </c>
    </row>
    <row r="266" spans="48:51" x14ac:dyDescent="0.3">
      <c r="AV266" s="17">
        <f ca="1">RTD("ice.xl",,"*HT",_xll.FSJoinRange(AW4:AY4),"D[tl:Union]","300;6/27/2017","40")</f>
        <v>42537.333333333336</v>
      </c>
      <c r="AW266" s="2">
        <f ca="1">RTD("ice.xl",,"*H",AW$4,AW$5,"",$AV266)</f>
        <v>51.311999999999998</v>
      </c>
      <c r="AX266" s="2">
        <f ca="1">RTD("ice.xl",,"*H",AW$4,AX$5,"",$AV266)</f>
        <v>2927065</v>
      </c>
      <c r="AY266" s="2" t="str">
        <f ca="1">RTD("ice.xl",,"*H",AW$4,AY$5,"",$AV266)</f>
        <v/>
      </c>
    </row>
    <row r="267" spans="48:51" x14ac:dyDescent="0.3">
      <c r="AV267" s="17">
        <f ca="1">RTD("ice.xl",,"*HT",_xll.FSJoinRange(AW4:AY4),"D[tl:Union]","300;6/27/2017","39")</f>
        <v>42536.333333333336</v>
      </c>
      <c r="AW267" s="2">
        <f ca="1">RTD("ice.xl",,"*H",AW$4,AW$5,"",$AV267)</f>
        <v>51.305999999999997</v>
      </c>
      <c r="AX267" s="2">
        <f ca="1">RTD("ice.xl",,"*H",AW$4,AX$5,"",$AV267)</f>
        <v>3974725</v>
      </c>
      <c r="AY267" s="2" t="str">
        <f ca="1">RTD("ice.xl",,"*H",AW$4,AY$5,"",$AV267)</f>
        <v/>
      </c>
    </row>
    <row r="268" spans="48:51" x14ac:dyDescent="0.3">
      <c r="AV268" s="17">
        <f ca="1">RTD("ice.xl",,"*HT",_xll.FSJoinRange(AW4:AY4),"D[tl:Union]","300;6/27/2017","38")</f>
        <v>42535.333333333336</v>
      </c>
      <c r="AW268" s="2">
        <f ca="1">RTD("ice.xl",,"*H",AW$4,AW$5,"",$AV268)</f>
        <v>51.603999999999999</v>
      </c>
      <c r="AX268" s="2">
        <f ca="1">RTD("ice.xl",,"*H",AW$4,AX$5,"",$AV268)</f>
        <v>3986665</v>
      </c>
      <c r="AY268" s="2" t="str">
        <f ca="1">RTD("ice.xl",,"*H",AW$4,AY$5,"",$AV268)</f>
        <v/>
      </c>
    </row>
    <row r="269" spans="48:51" x14ac:dyDescent="0.3">
      <c r="AV269" s="17">
        <f ca="1">RTD("ice.xl",,"*HT",_xll.FSJoinRange(AW4:AY4),"D[tl:Union]","300;6/27/2017","37")</f>
        <v>42534.333333333336</v>
      </c>
      <c r="AW269" s="2">
        <f ca="1">RTD("ice.xl",,"*H",AW$4,AW$5,"",$AV269)</f>
        <v>52.112000000000002</v>
      </c>
      <c r="AX269" s="2">
        <f ca="1">RTD("ice.xl",,"*H",AW$4,AX$5,"",$AV269)</f>
        <v>3665735</v>
      </c>
      <c r="AY269" s="2" t="str">
        <f ca="1">RTD("ice.xl",,"*H",AW$4,AY$5,"",$AV269)</f>
        <v/>
      </c>
    </row>
    <row r="270" spans="48:51" x14ac:dyDescent="0.3">
      <c r="AV270" s="17">
        <f ca="1">RTD("ice.xl",,"*HT",_xll.FSJoinRange(AW4:AY4),"D[tl:Union]","300;6/27/2017","36")</f>
        <v>42531.333333333336</v>
      </c>
      <c r="AW270" s="2">
        <f ca="1">RTD("ice.xl",,"*H",AW$4,AW$5,"",$AV270)</f>
        <v>52.258000000000003</v>
      </c>
      <c r="AX270" s="2">
        <f ca="1">RTD("ice.xl",,"*H",AW$4,AX$5,"",$AV270)</f>
        <v>2980315</v>
      </c>
      <c r="AY270" s="2" t="str">
        <f ca="1">RTD("ice.xl",,"*H",AW$4,AY$5,"",$AV270)</f>
        <v/>
      </c>
    </row>
    <row r="271" spans="48:51" x14ac:dyDescent="0.3">
      <c r="AV271" s="17">
        <f ca="1">RTD("ice.xl",,"*HT",_xll.FSJoinRange(AW4:AY4),"D[tl:Union]","300;6/27/2017","35")</f>
        <v>42530.333333333336</v>
      </c>
      <c r="AW271" s="2">
        <f ca="1">RTD("ice.xl",,"*H",AW$4,AW$5,"",$AV271)</f>
        <v>52.503999999999998</v>
      </c>
      <c r="AX271" s="2">
        <f ca="1">RTD("ice.xl",,"*H",AW$4,AX$5,"",$AV271)</f>
        <v>3510635</v>
      </c>
      <c r="AY271" s="2" t="str">
        <f ca="1">RTD("ice.xl",,"*H",AW$4,AY$5,"",$AV271)</f>
        <v/>
      </c>
    </row>
    <row r="272" spans="48:51" x14ac:dyDescent="0.3">
      <c r="AV272" s="17">
        <f ca="1">RTD("ice.xl",,"*HT",_xll.FSJoinRange(AW4:AY4),"D[tl:Union]","300;6/27/2017","34")</f>
        <v>42529.333333333336</v>
      </c>
      <c r="AW272" s="2">
        <f ca="1">RTD("ice.xl",,"*H",AW$4,AW$5,"",$AV272)</f>
        <v>52.963999999999999</v>
      </c>
      <c r="AX272" s="2">
        <f ca="1">RTD("ice.xl",,"*H",AW$4,AX$5,"",$AV272)</f>
        <v>2272570</v>
      </c>
      <c r="AY272" s="2" t="str">
        <f ca="1">RTD("ice.xl",,"*H",AW$4,AY$5,"",$AV272)</f>
        <v/>
      </c>
    </row>
    <row r="273" spans="48:51" x14ac:dyDescent="0.3">
      <c r="AV273" s="17">
        <f ca="1">RTD("ice.xl",,"*HT",_xll.FSJoinRange(AW4:AY4),"D[tl:Union]","300;6/27/2017","33")</f>
        <v>42528.333333333336</v>
      </c>
      <c r="AW273" s="2">
        <f ca="1">RTD("ice.xl",,"*H",AW$4,AW$5,"",$AV273)</f>
        <v>53.058</v>
      </c>
      <c r="AX273" s="2">
        <f ca="1">RTD("ice.xl",,"*H",AW$4,AX$5,"",$AV273)</f>
        <v>3856050</v>
      </c>
      <c r="AY273" s="2" t="str">
        <f ca="1">RTD("ice.xl",,"*H",AW$4,AY$5,"",$AV273)</f>
        <v/>
      </c>
    </row>
    <row r="274" spans="48:51" x14ac:dyDescent="0.3">
      <c r="AV274" s="17">
        <f ca="1">RTD("ice.xl",,"*HT",_xll.FSJoinRange(AW4:AY4),"D[tl:Union]","300;6/27/2017","32")</f>
        <v>42527.333333333336</v>
      </c>
      <c r="AW274" s="2">
        <f ca="1">RTD("ice.xl",,"*H",AW$4,AW$5,"",$AV274)</f>
        <v>52.9</v>
      </c>
      <c r="AX274" s="2">
        <f ca="1">RTD("ice.xl",,"*H",AW$4,AX$5,"",$AV274)</f>
        <v>4610010</v>
      </c>
      <c r="AY274" s="2" t="str">
        <f ca="1">RTD("ice.xl",,"*H",AW$4,AY$5,"",$AV274)</f>
        <v/>
      </c>
    </row>
    <row r="275" spans="48:51" x14ac:dyDescent="0.3">
      <c r="AV275" s="17">
        <f ca="1">RTD("ice.xl",,"*HT",_xll.FSJoinRange(AW4:AY4),"D[tl:Union]","300;6/27/2017","31")</f>
        <v>42524.333333333336</v>
      </c>
      <c r="AW275" s="2">
        <f ca="1">RTD("ice.xl",,"*H",AW$4,AW$5,"",$AV275)</f>
        <v>53.101999999999997</v>
      </c>
      <c r="AX275" s="2">
        <f ca="1">RTD("ice.xl",,"*H",AW$4,AX$5,"",$AV275)</f>
        <v>4876045</v>
      </c>
      <c r="AY275" s="2" t="str">
        <f ca="1">RTD("ice.xl",,"*H",AW$4,AY$5,"",$AV275)</f>
        <v/>
      </c>
    </row>
    <row r="276" spans="48:51" x14ac:dyDescent="0.3">
      <c r="AV276" s="17">
        <f ca="1">RTD("ice.xl",,"*HT",_xll.FSJoinRange(AW4:AY4),"D[tl:Union]","300;6/27/2017","30")</f>
        <v>42523.333333333336</v>
      </c>
      <c r="AW276" s="2">
        <f ca="1">RTD("ice.xl",,"*H",AW$4,AW$5,"",$AV276)</f>
        <v>53.448</v>
      </c>
      <c r="AX276" s="2">
        <f ca="1">RTD("ice.xl",,"*H",AW$4,AX$5,"",$AV276)</f>
        <v>3801465</v>
      </c>
      <c r="AY276" s="2" t="str">
        <f ca="1">RTD("ice.xl",,"*H",AW$4,AY$5,"",$AV276)</f>
        <v/>
      </c>
    </row>
    <row r="277" spans="48:51" x14ac:dyDescent="0.3">
      <c r="AV277" s="17">
        <f ca="1">RTD("ice.xl",,"*HT",_xll.FSJoinRange(AW4:AY4),"D[tl:Union]","300;6/27/2017","29")</f>
        <v>42522.333333333336</v>
      </c>
      <c r="AW277" s="2">
        <f ca="1">RTD("ice.xl",,"*H",AW$4,AW$5,"",$AV277)</f>
        <v>53.816000000000003</v>
      </c>
      <c r="AX277" s="2">
        <f ca="1">RTD("ice.xl",,"*H",AW$4,AX$5,"",$AV277)</f>
        <v>3999590</v>
      </c>
      <c r="AY277" s="2" t="str">
        <f ca="1">RTD("ice.xl",,"*H",AW$4,AY$5,"",$AV277)</f>
        <v/>
      </c>
    </row>
    <row r="278" spans="48:51" x14ac:dyDescent="0.3">
      <c r="AV278" s="17">
        <f ca="1">RTD("ice.xl",,"*HT",_xll.FSJoinRange(AW4:AY4),"D[tl:Union]","300;6/27/2017","28")</f>
        <v>42521.333333333336</v>
      </c>
      <c r="AW278" s="2">
        <f ca="1">RTD("ice.xl",,"*H",AW$4,AW$5,"",$AV278)</f>
        <v>54.223999999999997</v>
      </c>
      <c r="AX278" s="2">
        <f ca="1">RTD("ice.xl",,"*H",AW$4,AX$5,"",$AV278)</f>
        <v>3266320</v>
      </c>
      <c r="AY278" s="2" t="str">
        <f ca="1">RTD("ice.xl",,"*H",AW$4,AY$5,"",$AV278)</f>
        <v/>
      </c>
    </row>
    <row r="279" spans="48:51" x14ac:dyDescent="0.3">
      <c r="AV279" s="17">
        <f ca="1">RTD("ice.xl",,"*HT",_xll.FSJoinRange(AW4:AY4),"D[tl:Union]","300;6/27/2017","27")</f>
        <v>42517.333333333336</v>
      </c>
      <c r="AW279" s="2">
        <f ca="1">RTD("ice.xl",,"*H",AW$4,AW$5,"",$AV279)</f>
        <v>54.042000000000002</v>
      </c>
      <c r="AX279" s="2">
        <f ca="1">RTD("ice.xl",,"*H",AW$4,AX$5,"",$AV279)</f>
        <v>2844800</v>
      </c>
      <c r="AY279" s="2" t="str">
        <f ca="1">RTD("ice.xl",,"*H",AW$4,AY$5,"",$AV279)</f>
        <v/>
      </c>
    </row>
    <row r="280" spans="48:51" x14ac:dyDescent="0.3">
      <c r="AV280" s="17">
        <f ca="1">RTD("ice.xl",,"*HT",_xll.FSJoinRange(AW4:AY4),"D[tl:Union]","300;6/27/2017","26")</f>
        <v>42516.333333333336</v>
      </c>
      <c r="AW280" s="2">
        <f ca="1">RTD("ice.xl",,"*H",AW$4,AW$5,"",$AV280)</f>
        <v>53.6</v>
      </c>
      <c r="AX280" s="2">
        <f ca="1">RTD("ice.xl",,"*H",AW$4,AX$5,"",$AV280)</f>
        <v>3203360</v>
      </c>
      <c r="AY280" s="2" t="str">
        <f ca="1">RTD("ice.xl",,"*H",AW$4,AY$5,"",$AV280)</f>
        <v/>
      </c>
    </row>
    <row r="281" spans="48:51" x14ac:dyDescent="0.3">
      <c r="AV281" s="17">
        <f ca="1">RTD("ice.xl",,"*HT",_xll.FSJoinRange(AW4:AY4),"D[tl:Union]","300;6/27/2017","25")</f>
        <v>42515.333333333336</v>
      </c>
      <c r="AW281" s="2">
        <f ca="1">RTD("ice.xl",,"*H",AW$4,AW$5,"",$AV281)</f>
        <v>54</v>
      </c>
      <c r="AX281" s="2">
        <f ca="1">RTD("ice.xl",,"*H",AW$4,AX$5,"",$AV281)</f>
        <v>3890730</v>
      </c>
      <c r="AY281" s="2" t="str">
        <f ca="1">RTD("ice.xl",,"*H",AW$4,AY$5,"",$AV281)</f>
        <v/>
      </c>
    </row>
    <row r="282" spans="48:51" x14ac:dyDescent="0.3">
      <c r="AV282" s="17">
        <f ca="1">RTD("ice.xl",,"*HT",_xll.FSJoinRange(AW4:AY4),"D[tl:Union]","300;6/27/2017","24")</f>
        <v>42514.333333333336</v>
      </c>
      <c r="AW282" s="2">
        <f ca="1">RTD("ice.xl",,"*H",AW$4,AW$5,"",$AV282)</f>
        <v>54.137999999999998</v>
      </c>
      <c r="AX282" s="2">
        <f ca="1">RTD("ice.xl",,"*H",AW$4,AX$5,"",$AV282)</f>
        <v>6396455</v>
      </c>
      <c r="AY282" s="2" t="str">
        <f ca="1">RTD("ice.xl",,"*H",AW$4,AY$5,"",$AV282)</f>
        <v/>
      </c>
    </row>
    <row r="283" spans="48:51" x14ac:dyDescent="0.3">
      <c r="AV283" s="17">
        <f ca="1">RTD("ice.xl",,"*HT",_xll.FSJoinRange(AW4:AY4),"D[tl:Union]","300;6/27/2017","23")</f>
        <v>42513.333333333336</v>
      </c>
      <c r="AW283" s="2">
        <f ca="1">RTD("ice.xl",,"*H",AW$4,AW$5,"",$AV283)</f>
        <v>52.795999999999999</v>
      </c>
      <c r="AX283" s="2">
        <f ca="1">RTD("ice.xl",,"*H",AW$4,AX$5,"",$AV283)</f>
        <v>3199455</v>
      </c>
      <c r="AY283" s="2" t="str">
        <f ca="1">RTD("ice.xl",,"*H",AW$4,AY$5,"",$AV283)</f>
        <v/>
      </c>
    </row>
    <row r="284" spans="48:51" x14ac:dyDescent="0.3">
      <c r="AV284" s="17">
        <f ca="1">RTD("ice.xl",,"*HT",_xll.FSJoinRange(AW4:AY4),"D[tl:Union]","300;6/27/2017","22")</f>
        <v>42510.333333333336</v>
      </c>
      <c r="AW284" s="2">
        <f ca="1">RTD("ice.xl",,"*H",AW$4,AW$5,"",$AV284)</f>
        <v>52.597999999999999</v>
      </c>
      <c r="AX284" s="2">
        <f ca="1">RTD("ice.xl",,"*H",AW$4,AX$5,"",$AV284)</f>
        <v>5795945</v>
      </c>
      <c r="AY284" s="2" t="str">
        <f ca="1">RTD("ice.xl",,"*H",AW$4,AY$5,"",$AV284)</f>
        <v/>
      </c>
    </row>
    <row r="285" spans="48:51" x14ac:dyDescent="0.3">
      <c r="AV285" s="17">
        <f ca="1">RTD("ice.xl",,"*HT",_xll.FSJoinRange(AW4:AY4),"D[tl:Union]","300;6/27/2017","21")</f>
        <v>42509.333333333336</v>
      </c>
      <c r="AW285" s="2">
        <f ca="1">RTD("ice.xl",,"*H",AW$4,AW$5,"",$AV285)</f>
        <v>52.125999999999998</v>
      </c>
      <c r="AX285" s="2">
        <f ca="1">RTD("ice.xl",,"*H",AW$4,AX$5,"",$AV285)</f>
        <v>4613685</v>
      </c>
      <c r="AY285" s="2" t="str">
        <f ca="1">RTD("ice.xl",,"*H",AW$4,AY$5,"",$AV285)</f>
        <v/>
      </c>
    </row>
    <row r="286" spans="48:51" x14ac:dyDescent="0.3">
      <c r="AV286" s="17">
        <f ca="1">RTD("ice.xl",,"*HT",_xll.FSJoinRange(AW4:AY4),"D[tl:Union]","300;6/27/2017","20")</f>
        <v>42508.333333333336</v>
      </c>
      <c r="AW286" s="2">
        <f ca="1">RTD("ice.xl",,"*H",AW$4,AW$5,"",$AV286)</f>
        <v>52.292000000000002</v>
      </c>
      <c r="AX286" s="2">
        <f ca="1">RTD("ice.xl",,"*H",AW$4,AX$5,"",$AV286)</f>
        <v>3055180</v>
      </c>
      <c r="AY286" s="2" t="str">
        <f ca="1">RTD("ice.xl",,"*H",AW$4,AY$5,"",$AV286)</f>
        <v/>
      </c>
    </row>
    <row r="287" spans="48:51" x14ac:dyDescent="0.3">
      <c r="AV287" s="17">
        <f ca="1">RTD("ice.xl",,"*HT",_xll.FSJoinRange(AW4:AY4),"D[tl:Union]","300;6/27/2017","19")</f>
        <v>42507.333333333336</v>
      </c>
      <c r="AW287" s="2">
        <f ca="1">RTD("ice.xl",,"*H",AW$4,AW$5,"",$AV287)</f>
        <v>51.515999999999998</v>
      </c>
      <c r="AX287" s="2">
        <f ca="1">RTD("ice.xl",,"*H",AW$4,AX$5,"",$AV287)</f>
        <v>3748580</v>
      </c>
      <c r="AY287" s="2" t="str">
        <f ca="1">RTD("ice.xl",,"*H",AW$4,AY$5,"",$AV287)</f>
        <v/>
      </c>
    </row>
    <row r="288" spans="48:51" x14ac:dyDescent="0.3">
      <c r="AV288" s="17">
        <f ca="1">RTD("ice.xl",,"*HT",_xll.FSJoinRange(AW4:AY4),"D[tl:Union]","300;6/27/2017","18")</f>
        <v>42506.333333333336</v>
      </c>
      <c r="AW288" s="2">
        <f ca="1">RTD("ice.xl",,"*H",AW$4,AW$5,"",$AV288)</f>
        <v>52.322000000000003</v>
      </c>
      <c r="AX288" s="2">
        <f ca="1">RTD("ice.xl",,"*H",AW$4,AX$5,"",$AV288)</f>
        <v>3592380</v>
      </c>
      <c r="AY288" s="2" t="str">
        <f ca="1">RTD("ice.xl",,"*H",AW$4,AY$5,"",$AV288)</f>
        <v/>
      </c>
    </row>
    <row r="289" spans="48:51" x14ac:dyDescent="0.3">
      <c r="AV289" s="17">
        <f ca="1">RTD("ice.xl",,"*HT",_xll.FSJoinRange(AW4:AY4),"D[tl:Union]","300;6/27/2017","17")</f>
        <v>42503.333333333336</v>
      </c>
      <c r="AW289" s="2">
        <f ca="1">RTD("ice.xl",,"*H",AW$4,AW$5,"",$AV289)</f>
        <v>51.997999999999998</v>
      </c>
      <c r="AX289" s="2">
        <f ca="1">RTD("ice.xl",,"*H",AW$4,AX$5,"",$AV289)</f>
        <v>3527970</v>
      </c>
      <c r="AY289" s="2" t="str">
        <f ca="1">RTD("ice.xl",,"*H",AW$4,AY$5,"",$AV289)</f>
        <v/>
      </c>
    </row>
    <row r="290" spans="48:51" x14ac:dyDescent="0.3">
      <c r="AV290" s="17">
        <f ca="1">RTD("ice.xl",,"*HT",_xll.FSJoinRange(AW4:AY4),"D[tl:Union]","300;6/27/2017","16")</f>
        <v>42502.333333333336</v>
      </c>
      <c r="AW290" s="2">
        <f ca="1">RTD("ice.xl",,"*H",AW$4,AW$5,"",$AV290)</f>
        <v>52.427999999999997</v>
      </c>
      <c r="AX290" s="2">
        <f ca="1">RTD("ice.xl",,"*H",AW$4,AX$5,"",$AV290)</f>
        <v>2766805</v>
      </c>
      <c r="AY290" s="2" t="str">
        <f ca="1">RTD("ice.xl",,"*H",AW$4,AY$5,"",$AV290)</f>
        <v/>
      </c>
    </row>
    <row r="291" spans="48:51" x14ac:dyDescent="0.3">
      <c r="AV291" s="17">
        <f ca="1">RTD("ice.xl",,"*HT",_xll.FSJoinRange(AW4:AY4),"D[tl:Union]","300;6/27/2017","15")</f>
        <v>42501.333333333336</v>
      </c>
      <c r="AW291" s="2">
        <f ca="1">RTD("ice.xl",,"*H",AW$4,AW$5,"",$AV291)</f>
        <v>51.71</v>
      </c>
      <c r="AX291" s="2">
        <f ca="1">RTD("ice.xl",,"*H",AW$4,AX$5,"",$AV291)</f>
        <v>2994175</v>
      </c>
      <c r="AY291" s="2" t="str">
        <f ca="1">RTD("ice.xl",,"*H",AW$4,AY$5,"",$AV291)</f>
        <v/>
      </c>
    </row>
    <row r="292" spans="48:51" x14ac:dyDescent="0.3">
      <c r="AV292" s="17">
        <f ca="1">RTD("ice.xl",,"*HT",_xll.FSJoinRange(AW4:AY4),"D[tl:Union]","300;6/27/2017","14")</f>
        <v>42500.333333333336</v>
      </c>
      <c r="AW292" s="2">
        <f ca="1">RTD("ice.xl",,"*H",AW$4,AW$5,"",$AV292)</f>
        <v>52.204000000000001</v>
      </c>
      <c r="AX292" s="2">
        <f ca="1">RTD("ice.xl",,"*H",AW$4,AX$5,"",$AV292)</f>
        <v>5001320</v>
      </c>
      <c r="AY292" s="2" t="str">
        <f ca="1">RTD("ice.xl",,"*H",AW$4,AY$5,"",$AV292)</f>
        <v/>
      </c>
    </row>
    <row r="293" spans="48:51" x14ac:dyDescent="0.3">
      <c r="AV293" s="17">
        <f ca="1">RTD("ice.xl",,"*HT",_xll.FSJoinRange(AW4:AY4),"D[tl:Union]","300;6/27/2017","13")</f>
        <v>42499.333333333336</v>
      </c>
      <c r="AW293" s="2">
        <f ca="1">RTD("ice.xl",,"*H",AW$4,AW$5,"",$AV293)</f>
        <v>52.1</v>
      </c>
      <c r="AX293" s="2">
        <f ca="1">RTD("ice.xl",,"*H",AW$4,AX$5,"",$AV293)</f>
        <v>5617130</v>
      </c>
      <c r="AY293" s="2" t="str">
        <f ca="1">RTD("ice.xl",,"*H",AW$4,AY$5,"",$AV293)</f>
        <v/>
      </c>
    </row>
    <row r="294" spans="48:51" x14ac:dyDescent="0.3">
      <c r="AV294" s="17">
        <f ca="1">RTD("ice.xl",,"*HT",_xll.FSJoinRange(AW4:AY4),"D[tl:Union]","300;6/27/2017","12")</f>
        <v>42496.333333333336</v>
      </c>
      <c r="AW294" s="2">
        <f ca="1">RTD("ice.xl",,"*H",AW$4,AW$5,"",$AV294)</f>
        <v>51.631999999999998</v>
      </c>
      <c r="AX294" s="2">
        <f ca="1">RTD("ice.xl",,"*H",AW$4,AX$5,"",$AV294)</f>
        <v>3986600</v>
      </c>
      <c r="AY294" s="2" t="str">
        <f ca="1">RTD("ice.xl",,"*H",AW$4,AY$5,"",$AV294)</f>
        <v/>
      </c>
    </row>
    <row r="295" spans="48:51" x14ac:dyDescent="0.3">
      <c r="AV295" s="17">
        <f ca="1">RTD("ice.xl",,"*HT",_xll.FSJoinRange(AW4:AY4),"D[tl:Union]","300;6/27/2017","11")</f>
        <v>42495.333333333336</v>
      </c>
      <c r="AW295" s="2">
        <f ca="1">RTD("ice.xl",,"*H",AW$4,AW$5,"",$AV295)</f>
        <v>50.804000000000002</v>
      </c>
      <c r="AX295" s="2">
        <f ca="1">RTD("ice.xl",,"*H",AW$4,AX$5,"",$AV295)</f>
        <v>7107010</v>
      </c>
      <c r="AY295" s="2" t="str">
        <f ca="1">RTD("ice.xl",,"*H",AW$4,AY$5,"",$AV295)</f>
        <v/>
      </c>
    </row>
    <row r="296" spans="48:51" x14ac:dyDescent="0.3">
      <c r="AV296" s="17">
        <f ca="1">RTD("ice.xl",,"*HT",_xll.FSJoinRange(AW4:AY4),"D[tl:Union]","300;6/27/2017","10")</f>
        <v>42494.333333333336</v>
      </c>
      <c r="AW296" s="2">
        <f ca="1">RTD("ice.xl",,"*H",AW$4,AW$5,"",$AV296)</f>
        <v>51.698</v>
      </c>
      <c r="AX296" s="2">
        <f ca="1">RTD("ice.xl",,"*H",AW$4,AX$5,"",$AV296)</f>
        <v>14339095</v>
      </c>
      <c r="AY296" s="2" t="str">
        <f ca="1">RTD("ice.xl",,"*H",AW$4,AY$5,"",$AV296)</f>
        <v/>
      </c>
    </row>
    <row r="297" spans="48:51" x14ac:dyDescent="0.3">
      <c r="AV297" s="17">
        <f ca="1">RTD("ice.xl",,"*HT",_xll.FSJoinRange(AW4:AY4),"D[tl:Union]","300;6/27/2017","9")</f>
        <v>42493.333333333336</v>
      </c>
      <c r="AW297" s="2">
        <f ca="1">RTD("ice.xl",,"*H",AW$4,AW$5,"",$AV297)</f>
        <v>48.195999999999998</v>
      </c>
      <c r="AX297" s="2">
        <f ca="1">RTD("ice.xl",,"*H",AW$4,AX$5,"",$AV297)</f>
        <v>3408040</v>
      </c>
      <c r="AY297" s="2" t="str">
        <f ca="1">RTD("ice.xl",,"*H",AW$4,AY$5,"",$AV297)</f>
        <v/>
      </c>
    </row>
    <row r="298" spans="48:51" x14ac:dyDescent="0.3">
      <c r="AV298" s="17">
        <f ca="1">RTD("ice.xl",,"*HT",_xll.FSJoinRange(AW4:AY4),"D[tl:Union]","300;6/27/2017","8")</f>
        <v>42492.333333333336</v>
      </c>
      <c r="AW298" s="2">
        <f ca="1">RTD("ice.xl",,"*H",AW$4,AW$5,"",$AV298)</f>
        <v>48.936</v>
      </c>
      <c r="AX298" s="2">
        <f ca="1">RTD("ice.xl",,"*H",AW$4,AX$5,"",$AV298)</f>
        <v>4452330</v>
      </c>
      <c r="AY298" s="2" t="str">
        <f ca="1">RTD("ice.xl",,"*H",AW$4,AY$5,"",$AV298)</f>
        <v/>
      </c>
    </row>
    <row r="299" spans="48:51" x14ac:dyDescent="0.3">
      <c r="AV299" s="17">
        <f ca="1">RTD("ice.xl",,"*HT",_xll.FSJoinRange(AW4:AY4),"D[tl:Union]","300;6/27/2017","7")</f>
        <v>42489.333333333336</v>
      </c>
      <c r="AW299" s="2">
        <f ca="1">RTD("ice.xl",,"*H",AW$4,AW$5,"",$AV299)</f>
        <v>48.006</v>
      </c>
      <c r="AX299" s="2">
        <f ca="1">RTD("ice.xl",,"*H",AW$4,AX$5,"",$AV299)</f>
        <v>3020515</v>
      </c>
      <c r="AY299" s="2" t="str">
        <f ca="1">RTD("ice.xl",,"*H",AW$4,AY$5,"",$AV299)</f>
        <v/>
      </c>
    </row>
    <row r="300" spans="48:51" x14ac:dyDescent="0.3">
      <c r="AV300" s="17">
        <f ca="1">RTD("ice.xl",,"*HT",_xll.FSJoinRange(AW4:AY4),"D[tl:Union]","300;6/27/2017","6")</f>
        <v>42488.333333333336</v>
      </c>
      <c r="AW300" s="2">
        <f ca="1">RTD("ice.xl",,"*H",AW$4,AW$5,"",$AV300)</f>
        <v>48.171999999999997</v>
      </c>
      <c r="AX300" s="2">
        <f ca="1">RTD("ice.xl",,"*H",AW$4,AX$5,"",$AV300)</f>
        <v>1737835</v>
      </c>
      <c r="AY300" s="2" t="str">
        <f ca="1">RTD("ice.xl",,"*H",AW$4,AY$5,"",$AV300)</f>
        <v/>
      </c>
    </row>
    <row r="301" spans="48:51" x14ac:dyDescent="0.3">
      <c r="AV301" s="17">
        <f ca="1">RTD("ice.xl",,"*HT",_xll.FSJoinRange(AW4:AY4),"D[tl:Union]","300;6/27/2017","5")</f>
        <v>42487.333333333336</v>
      </c>
      <c r="AW301" s="2">
        <f ca="1">RTD("ice.xl",,"*H",AW$4,AW$5,"",$AV301)</f>
        <v>48.698</v>
      </c>
      <c r="AX301" s="2">
        <f ca="1">RTD("ice.xl",,"*H",AW$4,AX$5,"",$AV301)</f>
        <v>1999990</v>
      </c>
      <c r="AY301" s="2" t="str">
        <f ca="1">RTD("ice.xl",,"*H",AW$4,AY$5,"",$AV301)</f>
        <v/>
      </c>
    </row>
    <row r="302" spans="48:51" x14ac:dyDescent="0.3">
      <c r="AV302" s="17">
        <f ca="1">RTD("ice.xl",,"*HT",_xll.FSJoinRange(AW4:AY4),"D[tl:Union]","300;6/27/2017","4")</f>
        <v>42486.333333333336</v>
      </c>
      <c r="AW302" s="2">
        <f ca="1">RTD("ice.xl",,"*H",AW$4,AW$5,"",$AV302)</f>
        <v>48.875999999999998</v>
      </c>
      <c r="AX302" s="2">
        <f ca="1">RTD("ice.xl",,"*H",AW$4,AX$5,"",$AV302)</f>
        <v>2367775</v>
      </c>
      <c r="AY302" s="2" t="str">
        <f ca="1">RTD("ice.xl",,"*H",AW$4,AY$5,"",$AV302)</f>
        <v/>
      </c>
    </row>
    <row r="303" spans="48:51" x14ac:dyDescent="0.3">
      <c r="AV303" s="17">
        <f ca="1">RTD("ice.xl",,"*HT",_xll.FSJoinRange(AW4:AY4),"D[tl:Union]","300;6/27/2017","3")</f>
        <v>42485.333333333336</v>
      </c>
      <c r="AW303" s="2">
        <f ca="1">RTD("ice.xl",,"*H",AW$4,AW$5,"",$AV303)</f>
        <v>48.082000000000001</v>
      </c>
      <c r="AX303" s="2">
        <f ca="1">RTD("ice.xl",,"*H",AW$4,AX$5,"",$AV303)</f>
        <v>2897060</v>
      </c>
      <c r="AY303" s="2" t="str">
        <f ca="1">RTD("ice.xl",,"*H",AW$4,AY$5,"",$AV303)</f>
        <v/>
      </c>
    </row>
    <row r="304" spans="48:51" x14ac:dyDescent="0.3">
      <c r="AV304" s="17">
        <f ca="1">RTD("ice.xl",,"*HT",_xll.FSJoinRange(AW4:AY4),"D[tl:Union]","300;6/27/2017","2")</f>
        <v>42482.333333333336</v>
      </c>
      <c r="AW304" s="2">
        <f ca="1">RTD("ice.xl",,"*H",AW$4,AW$5,"",$AV304)</f>
        <v>48.23</v>
      </c>
      <c r="AX304" s="2">
        <f ca="1">RTD("ice.xl",,"*H",AW$4,AX$5,"",$AV304)</f>
        <v>2897900</v>
      </c>
      <c r="AY304" s="2" t="str">
        <f ca="1">RTD("ice.xl",,"*H",AW$4,AY$5,"",$AV304)</f>
        <v/>
      </c>
    </row>
    <row r="305" spans="48:51" x14ac:dyDescent="0.3">
      <c r="AV305" s="17">
        <f ca="1">RTD("ice.xl",,"*HT",_xll.FSJoinRange(AW4:AY4),"D[tl:Union]","300;6/27/2017","1")</f>
        <v>42481.333333333336</v>
      </c>
      <c r="AW305" s="2">
        <f ca="1">RTD("ice.xl",,"*H",AW$4,AW$5,"",$AV305)</f>
        <v>48.031999999999996</v>
      </c>
      <c r="AX305" s="2">
        <f ca="1">RTD("ice.xl",,"*H",AW$4,AX$5,"",$AV305)</f>
        <v>2532455</v>
      </c>
      <c r="AY305" s="2" t="str">
        <f ca="1">RTD("ice.xl",,"*H",AW$4,AY$5,"",$AV305)</f>
        <v/>
      </c>
    </row>
    <row r="306" spans="48:51" x14ac:dyDescent="0.3">
      <c r="AV306" s="17">
        <f ca="1">RTD("ice.xl",,"*HT",_xll.FSJoinRange(AW4:AY4),"D[tl:Union]","300;6/27/2017","0")</f>
        <v>42480.333333333336</v>
      </c>
      <c r="AW306" s="2">
        <f ca="1">RTD("ice.xl",,"*H",AW$4,AW$5,"",$AV306)</f>
        <v>48.52</v>
      </c>
      <c r="AX306" s="2">
        <f ca="1">RTD("ice.xl",,"*H",AW$4,AX$5,"",$AV306)</f>
        <v>2620020</v>
      </c>
      <c r="AY306" s="2" t="str">
        <f ca="1">RTD("ice.xl",,"*H",AW$4,AY$5,"",$AV306)</f>
        <v/>
      </c>
    </row>
  </sheetData>
  <mergeCells count="9">
    <mergeCell ref="B5:D5"/>
    <mergeCell ref="B7:D22"/>
    <mergeCell ref="AW4:AY4"/>
    <mergeCell ref="G6:H6"/>
    <mergeCell ref="G38:H38"/>
    <mergeCell ref="G17:H17"/>
    <mergeCell ref="G23:H23"/>
    <mergeCell ref="J30:K30"/>
    <mergeCell ref="M30:N30"/>
  </mergeCells>
  <phoneticPr fontId="6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Main</vt:lpstr>
      <vt:lpstr>Main!Print_Area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Woolford</dc:creator>
  <cp:lastModifiedBy>Keely Jelinek</cp:lastModifiedBy>
  <dcterms:created xsi:type="dcterms:W3CDTF">2015-06-09T11:57:01Z</dcterms:created>
  <dcterms:modified xsi:type="dcterms:W3CDTF">2022-08-19T17:03:11Z</dcterms:modified>
</cp:coreProperties>
</file>