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https://iceholdings-my.sharepoint.com/personal/amcsween_cpex_com/Documents/Documents/Template Refresh/"/>
    </mc:Choice>
  </mc:AlternateContent>
  <xr:revisionPtr revIDLastSave="2" documentId="8_{3623BA45-0688-407C-90A6-DD81BB486353}" xr6:coauthVersionLast="46" xr6:coauthVersionMax="46" xr10:uidLastSave="{3C2331C0-4E52-43F0-BC7E-90192764A689}"/>
  <bookViews>
    <workbookView xWindow="4515" yWindow="-16320" windowWidth="29040" windowHeight="15990" tabRatio="552" activeTab="2" xr2:uid="{00000000-000D-0000-FFFF-FFFF00000000}"/>
  </bookViews>
  <sheets>
    <sheet name="Cover" sheetId="26" r:id="rId1"/>
    <sheet name="Quote Table" sheetId="20" r:id="rId2"/>
    <sheet name="Data Points" sheetId="19" r:id="rId3"/>
    <sheet name="Time Series" sheetId="21" r:id="rId4"/>
    <sheet name="Time and Sales" sheetId="23" r:id="rId5"/>
    <sheet name="Options" sheetId="24" r:id="rId6"/>
    <sheet name="Formula Builder" sheetId="22" state="hidden" r:id="rId7"/>
    <sheet name="Forward Curves" sheetId="25" state="hidden" r:id="rId8"/>
  </sheets>
  <definedNames>
    <definedName name="_xlnm.Print_Area" localSheetId="2">'Data Points'!$F$1:$X$39</definedName>
    <definedName name="_xlnm.Print_Area" localSheetId="6">'Formula Builder'!$A$1:$U$39</definedName>
    <definedName name="_xlnm.Print_Area" localSheetId="7">'Forward Curves'!$A$1:$U$39</definedName>
    <definedName name="_xlnm.Print_Area" localSheetId="5">Options!$F$1:$Y$42</definedName>
    <definedName name="_xlnm.Print_Area" localSheetId="1">'Quote Table'!$A$1:$X$41</definedName>
    <definedName name="_xlnm.Print_Area" localSheetId="4">'Time and Sales'!$F$1:$X$39</definedName>
    <definedName name="_xlnm.Print_Area" localSheetId="3">'Time Series'!$F$1:$N$40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31" i="24" l="1"/>
  <c r="G31" i="24" s="1"/>
  <c r="Q32" i="24"/>
  <c r="R32" i="24" s="1"/>
  <c r="Q33" i="24"/>
  <c r="G33" i="24" s="1"/>
  <c r="Q34" i="24"/>
  <c r="R34" i="24" s="1"/>
  <c r="Q35" i="24"/>
  <c r="G35" i="24" s="1"/>
  <c r="Q36" i="24"/>
  <c r="G36" i="24" s="1"/>
  <c r="R36" i="24"/>
  <c r="Q37" i="24"/>
  <c r="G37" i="24" s="1"/>
  <c r="Q38" i="24"/>
  <c r="G38" i="24" s="1"/>
  <c r="Q39" i="24"/>
  <c r="R39" i="24" s="1"/>
  <c r="Q40" i="24"/>
  <c r="G40" i="24" s="1"/>
  <c r="Z39" i="24"/>
  <c r="Z36" i="24"/>
  <c r="H38" i="24"/>
  <c r="S39" i="24"/>
  <c r="P38" i="24"/>
  <c r="AA39" i="24"/>
  <c r="W39" i="24"/>
  <c r="M38" i="24"/>
  <c r="X39" i="24"/>
  <c r="K35" i="24"/>
  <c r="L38" i="24"/>
  <c r="V36" i="24"/>
  <c r="Y39" i="24"/>
  <c r="N36" i="24"/>
  <c r="R37" i="24" l="1"/>
  <c r="G39" i="24"/>
  <c r="R38" i="24"/>
  <c r="R35" i="24"/>
  <c r="R40" i="24"/>
  <c r="G34" i="24"/>
  <c r="R33" i="24"/>
  <c r="G32" i="24"/>
  <c r="R31" i="24"/>
  <c r="G10" i="23"/>
  <c r="G11" i="23"/>
  <c r="G12" i="23"/>
  <c r="G13" i="23"/>
  <c r="G14" i="23"/>
  <c r="G15" i="23"/>
  <c r="G16" i="23"/>
  <c r="G17" i="23"/>
  <c r="G18" i="23"/>
  <c r="G19" i="23"/>
  <c r="G20" i="23"/>
  <c r="G21" i="23"/>
  <c r="G22" i="23"/>
  <c r="G23" i="23"/>
  <c r="G24" i="23"/>
  <c r="G25" i="23"/>
  <c r="C16" i="26"/>
  <c r="I39" i="24"/>
  <c r="P39" i="24"/>
  <c r="O39" i="24"/>
  <c r="H39" i="24"/>
  <c r="K39" i="24"/>
  <c r="V38" i="24"/>
  <c r="U38" i="24"/>
  <c r="T38" i="24"/>
  <c r="AA38" i="24"/>
  <c r="S38" i="24"/>
  <c r="X38" i="24"/>
  <c r="W38" i="24"/>
  <c r="S35" i="24"/>
  <c r="T35" i="24"/>
  <c r="W35" i="24"/>
  <c r="Y37" i="24"/>
  <c r="Y34" i="24"/>
  <c r="O31" i="24"/>
  <c r="N31" i="24"/>
  <c r="X32" i="24"/>
  <c r="P37" i="24"/>
  <c r="I40" i="24"/>
  <c r="P33" i="24"/>
  <c r="Z37" i="24"/>
  <c r="J38" i="24"/>
  <c r="X37" i="24"/>
  <c r="V37" i="24"/>
  <c r="J36" i="24"/>
  <c r="P36" i="24"/>
  <c r="J33" i="24"/>
  <c r="T36" i="24"/>
  <c r="M36" i="24"/>
  <c r="T37" i="24"/>
  <c r="Z34" i="24"/>
  <c r="H31" i="24"/>
  <c r="Z32" i="24"/>
  <c r="Y32" i="24"/>
  <c r="O37" i="24"/>
  <c r="H40" i="24"/>
  <c r="I33" i="24"/>
  <c r="L35" i="24"/>
  <c r="W37" i="24"/>
  <c r="U36" i="24"/>
  <c r="AA36" i="24"/>
  <c r="U37" i="24"/>
  <c r="O35" i="24"/>
  <c r="H36" i="24"/>
  <c r="S34" i="24"/>
  <c r="P31" i="24"/>
  <c r="S32" i="24"/>
  <c r="I37" i="24"/>
  <c r="J37" i="24"/>
  <c r="P40" i="24"/>
  <c r="AA34" i="24"/>
  <c r="I31" i="24"/>
  <c r="AA32" i="24"/>
  <c r="K37" i="24"/>
  <c r="J40" i="24"/>
  <c r="K40" i="24"/>
  <c r="K33" i="24"/>
  <c r="J35" i="24"/>
  <c r="L36" i="24"/>
  <c r="Z35" i="24"/>
  <c r="K36" i="24"/>
  <c r="Y36" i="24"/>
  <c r="O38" i="24"/>
  <c r="M35" i="24"/>
  <c r="Y35" i="24"/>
  <c r="T39" i="24"/>
  <c r="X35" i="24"/>
  <c r="I36" i="24"/>
  <c r="AA35" i="24"/>
  <c r="O40" i="24"/>
  <c r="K38" i="24"/>
  <c r="X36" i="24"/>
  <c r="J39" i="24"/>
  <c r="T34" i="24"/>
  <c r="J31" i="24"/>
  <c r="T32" i="24"/>
  <c r="L37" i="24"/>
  <c r="L40" i="24"/>
  <c r="M33" i="24"/>
  <c r="L33" i="24"/>
  <c r="N38" i="24"/>
  <c r="V39" i="24"/>
  <c r="U34" i="24"/>
  <c r="K31" i="24"/>
  <c r="U32" i="24"/>
  <c r="M37" i="24"/>
  <c r="N40" i="24"/>
  <c r="N33" i="24"/>
  <c r="W36" i="24"/>
  <c r="U39" i="24"/>
  <c r="I35" i="24"/>
  <c r="L39" i="24"/>
  <c r="P35" i="24"/>
  <c r="V35" i="24"/>
  <c r="AA37" i="24"/>
  <c r="H33" i="24"/>
  <c r="I38" i="24"/>
  <c r="S36" i="24"/>
  <c r="U35" i="24"/>
  <c r="V34" i="24"/>
  <c r="L31" i="24"/>
  <c r="V32" i="24"/>
  <c r="N37" i="24"/>
  <c r="M40" i="24"/>
  <c r="O33" i="24"/>
  <c r="O36" i="24"/>
  <c r="M39" i="24"/>
  <c r="N39" i="24"/>
  <c r="Y38" i="24"/>
  <c r="H35" i="24"/>
  <c r="N35" i="24"/>
  <c r="S37" i="24"/>
  <c r="X34" i="24"/>
  <c r="W34" i="24"/>
  <c r="M31" i="24"/>
  <c r="W32" i="24"/>
  <c r="H37" i="24"/>
  <c r="Z38" i="24"/>
  <c r="H28" i="24"/>
  <c r="I28" i="24"/>
  <c r="J28" i="24"/>
  <c r="G26" i="24"/>
  <c r="G8" i="23"/>
  <c r="G19" i="21"/>
  <c r="G27" i="21"/>
  <c r="G35" i="21"/>
  <c r="G43" i="21"/>
  <c r="G51" i="21"/>
  <c r="G59" i="21"/>
  <c r="G67" i="21"/>
  <c r="G20" i="21"/>
  <c r="G28" i="21"/>
  <c r="G36" i="21"/>
  <c r="G60" i="21"/>
  <c r="G21" i="21"/>
  <c r="G29" i="21"/>
  <c r="G37" i="21"/>
  <c r="G45" i="21"/>
  <c r="G53" i="21"/>
  <c r="G61" i="21"/>
  <c r="G22" i="21"/>
  <c r="G30" i="21"/>
  <c r="G38" i="21"/>
  <c r="G46" i="21"/>
  <c r="G54" i="21"/>
  <c r="G62" i="21"/>
  <c r="G40" i="21"/>
  <c r="G56" i="21"/>
  <c r="G23" i="21"/>
  <c r="G31" i="21"/>
  <c r="G39" i="21"/>
  <c r="G47" i="21"/>
  <c r="G55" i="21"/>
  <c r="G63" i="21"/>
  <c r="G24" i="21"/>
  <c r="G32" i="21"/>
  <c r="G48" i="21"/>
  <c r="G64" i="21"/>
  <c r="G25" i="21"/>
  <c r="G33" i="21"/>
  <c r="G41" i="21"/>
  <c r="G49" i="21"/>
  <c r="G57" i="21"/>
  <c r="G65" i="21"/>
  <c r="G52" i="21"/>
  <c r="G26" i="21"/>
  <c r="G34" i="21"/>
  <c r="G42" i="21"/>
  <c r="G50" i="21"/>
  <c r="G58" i="21"/>
  <c r="G66" i="21"/>
  <c r="G44" i="21"/>
  <c r="G68" i="21"/>
  <c r="J18" i="21"/>
  <c r="K18" i="21"/>
  <c r="M18" i="21"/>
  <c r="H18" i="21"/>
  <c r="L18" i="21"/>
  <c r="I18" i="21"/>
  <c r="G16" i="21"/>
  <c r="M19" i="21"/>
  <c r="L19" i="21"/>
  <c r="K19" i="21"/>
  <c r="J19" i="21"/>
  <c r="I19" i="21"/>
  <c r="H19" i="21"/>
  <c r="M27" i="21"/>
  <c r="L27" i="21"/>
  <c r="K27" i="21"/>
  <c r="J27" i="21"/>
  <c r="I27" i="21"/>
  <c r="H27" i="21"/>
  <c r="M35" i="21"/>
  <c r="L35" i="21"/>
  <c r="K35" i="21"/>
  <c r="J35" i="21"/>
  <c r="I35" i="21"/>
  <c r="H35" i="21"/>
  <c r="H43" i="21"/>
  <c r="J43" i="21"/>
  <c r="M43" i="21"/>
  <c r="L43" i="21"/>
  <c r="K43" i="21"/>
  <c r="I43" i="21"/>
  <c r="J51" i="21"/>
  <c r="H51" i="21"/>
  <c r="M51" i="21"/>
  <c r="L51" i="21"/>
  <c r="K51" i="21"/>
  <c r="I51" i="21"/>
  <c r="J59" i="21"/>
  <c r="H59" i="21"/>
  <c r="M59" i="21"/>
  <c r="L59" i="21"/>
  <c r="K59" i="21"/>
  <c r="I59" i="21"/>
  <c r="H67" i="21"/>
  <c r="J67" i="21"/>
  <c r="M67" i="21"/>
  <c r="L67" i="21"/>
  <c r="K67" i="21"/>
  <c r="I67" i="21"/>
  <c r="I20" i="21"/>
  <c r="H20" i="21"/>
  <c r="M20" i="21"/>
  <c r="L20" i="21"/>
  <c r="K20" i="21"/>
  <c r="J20" i="21"/>
  <c r="I28" i="21"/>
  <c r="H28" i="21"/>
  <c r="M28" i="21"/>
  <c r="L28" i="21"/>
  <c r="K28" i="21"/>
  <c r="J28" i="21"/>
  <c r="I36" i="21"/>
  <c r="H36" i="21"/>
  <c r="M36" i="21"/>
  <c r="L36" i="21"/>
  <c r="K36" i="21"/>
  <c r="J36" i="21"/>
  <c r="I60" i="21"/>
  <c r="H60" i="21"/>
  <c r="M60" i="21"/>
  <c r="L60" i="21"/>
  <c r="K60" i="21"/>
  <c r="J60" i="21"/>
  <c r="K21" i="21"/>
  <c r="J21" i="21"/>
  <c r="I21" i="21"/>
  <c r="H21" i="21"/>
  <c r="M21" i="21"/>
  <c r="L21" i="21"/>
  <c r="K29" i="21"/>
  <c r="J29" i="21"/>
  <c r="I29" i="21"/>
  <c r="H29" i="21"/>
  <c r="M29" i="21"/>
  <c r="L29" i="21"/>
  <c r="K37" i="21"/>
  <c r="J37" i="21"/>
  <c r="I37" i="21"/>
  <c r="H37" i="21"/>
  <c r="M37" i="21"/>
  <c r="L37" i="21"/>
  <c r="K45" i="21"/>
  <c r="J45" i="21"/>
  <c r="I45" i="21"/>
  <c r="H45" i="21"/>
  <c r="M45" i="21"/>
  <c r="L45" i="21"/>
  <c r="L53" i="21"/>
  <c r="K53" i="21"/>
  <c r="J53" i="21"/>
  <c r="I53" i="21"/>
  <c r="H53" i="21"/>
  <c r="M53" i="21"/>
  <c r="K61" i="21"/>
  <c r="J61" i="21"/>
  <c r="L61" i="21"/>
  <c r="I61" i="21"/>
  <c r="H61" i="21"/>
  <c r="M61" i="21"/>
  <c r="M22" i="21"/>
  <c r="L22" i="21"/>
  <c r="K22" i="21"/>
  <c r="J22" i="21"/>
  <c r="I22" i="21"/>
  <c r="H22" i="21"/>
  <c r="M30" i="21"/>
  <c r="H30" i="21"/>
  <c r="L30" i="21"/>
  <c r="K30" i="21"/>
  <c r="J30" i="21"/>
  <c r="I30" i="21"/>
  <c r="H38" i="21"/>
  <c r="M38" i="21"/>
  <c r="L38" i="21"/>
  <c r="K38" i="21"/>
  <c r="J38" i="21"/>
  <c r="I38" i="21"/>
  <c r="H46" i="21"/>
  <c r="M46" i="21"/>
  <c r="L46" i="21"/>
  <c r="K46" i="21"/>
  <c r="J46" i="21"/>
  <c r="I46" i="21"/>
  <c r="M54" i="21"/>
  <c r="L54" i="21"/>
  <c r="H54" i="21"/>
  <c r="K54" i="21"/>
  <c r="J54" i="21"/>
  <c r="I54" i="21"/>
  <c r="M62" i="21"/>
  <c r="L62" i="21"/>
  <c r="H62" i="21"/>
  <c r="K62" i="21"/>
  <c r="J62" i="21"/>
  <c r="I62" i="21"/>
  <c r="I40" i="21"/>
  <c r="H40" i="21"/>
  <c r="M40" i="21"/>
  <c r="K40" i="21"/>
  <c r="L40" i="21"/>
  <c r="J40" i="21"/>
  <c r="I56" i="21"/>
  <c r="L56" i="21"/>
  <c r="H56" i="21"/>
  <c r="J56" i="21"/>
  <c r="M56" i="21"/>
  <c r="K56" i="21"/>
  <c r="M23" i="21"/>
  <c r="L23" i="21"/>
  <c r="K23" i="21"/>
  <c r="J23" i="21"/>
  <c r="I23" i="21"/>
  <c r="H23" i="21"/>
  <c r="M31" i="21"/>
  <c r="L31" i="21"/>
  <c r="K31" i="21"/>
  <c r="I31" i="21"/>
  <c r="J31" i="21"/>
  <c r="H31" i="21"/>
  <c r="M39" i="21"/>
  <c r="L39" i="21"/>
  <c r="K39" i="21"/>
  <c r="J39" i="21"/>
  <c r="I39" i="21"/>
  <c r="H39" i="21"/>
  <c r="M47" i="21"/>
  <c r="L47" i="21"/>
  <c r="K47" i="21"/>
  <c r="J47" i="21"/>
  <c r="I47" i="21"/>
  <c r="H47" i="21"/>
  <c r="M55" i="21"/>
  <c r="L55" i="21"/>
  <c r="J55" i="21"/>
  <c r="K55" i="21"/>
  <c r="I55" i="21"/>
  <c r="H55" i="21"/>
  <c r="H63" i="21"/>
  <c r="M63" i="21"/>
  <c r="L63" i="21"/>
  <c r="J63" i="21"/>
  <c r="K63" i="21"/>
  <c r="I63" i="21"/>
  <c r="I24" i="21"/>
  <c r="H24" i="21"/>
  <c r="M24" i="21"/>
  <c r="L24" i="21"/>
  <c r="K24" i="21"/>
  <c r="J24" i="21"/>
  <c r="L32" i="21"/>
  <c r="I32" i="21"/>
  <c r="H32" i="21"/>
  <c r="M32" i="21"/>
  <c r="K32" i="21"/>
  <c r="J32" i="21"/>
  <c r="J48" i="21"/>
  <c r="I48" i="21"/>
  <c r="H48" i="21"/>
  <c r="L48" i="21"/>
  <c r="M48" i="21"/>
  <c r="K48" i="21"/>
  <c r="I64" i="21"/>
  <c r="J64" i="21"/>
  <c r="H64" i="21"/>
  <c r="M64" i="21"/>
  <c r="K64" i="21"/>
  <c r="L64" i="21"/>
  <c r="K25" i="21"/>
  <c r="J25" i="21"/>
  <c r="I25" i="21"/>
  <c r="H25" i="21"/>
  <c r="M25" i="21"/>
  <c r="L25" i="21"/>
  <c r="K33" i="21"/>
  <c r="J33" i="21"/>
  <c r="I33" i="21"/>
  <c r="H33" i="21"/>
  <c r="M33" i="21"/>
  <c r="L33" i="21"/>
  <c r="K41" i="21"/>
  <c r="J41" i="21"/>
  <c r="I41" i="21"/>
  <c r="H41" i="21"/>
  <c r="M41" i="21"/>
  <c r="L41" i="21"/>
  <c r="K49" i="21"/>
  <c r="L49" i="21"/>
  <c r="J49" i="21"/>
  <c r="I49" i="21"/>
  <c r="H49" i="21"/>
  <c r="M49" i="21"/>
  <c r="L57" i="21"/>
  <c r="K57" i="21"/>
  <c r="J57" i="21"/>
  <c r="I57" i="21"/>
  <c r="H57" i="21"/>
  <c r="M57" i="21"/>
  <c r="K65" i="21"/>
  <c r="J65" i="21"/>
  <c r="I65" i="21"/>
  <c r="H65" i="21"/>
  <c r="M65" i="21"/>
  <c r="L65" i="21"/>
  <c r="I52" i="21"/>
  <c r="H52" i="21"/>
  <c r="M52" i="21"/>
  <c r="L52" i="21"/>
  <c r="K52" i="21"/>
  <c r="J52" i="21"/>
  <c r="M26" i="21"/>
  <c r="L26" i="21"/>
  <c r="K26" i="21"/>
  <c r="J26" i="21"/>
  <c r="I26" i="21"/>
  <c r="H26" i="21"/>
  <c r="M34" i="21"/>
  <c r="L34" i="21"/>
  <c r="H34" i="21"/>
  <c r="K34" i="21"/>
  <c r="J34" i="21"/>
  <c r="I34" i="21"/>
  <c r="M42" i="21"/>
  <c r="L42" i="21"/>
  <c r="H42" i="21"/>
  <c r="K42" i="21"/>
  <c r="J42" i="21"/>
  <c r="I42" i="21"/>
  <c r="M50" i="21"/>
  <c r="L50" i="21"/>
  <c r="K50" i="21"/>
  <c r="J50" i="21"/>
  <c r="I50" i="21"/>
  <c r="H50" i="21"/>
  <c r="M58" i="21"/>
  <c r="L58" i="21"/>
  <c r="K58" i="21"/>
  <c r="J58" i="21"/>
  <c r="I58" i="21"/>
  <c r="H58" i="21"/>
  <c r="H66" i="21"/>
  <c r="M66" i="21"/>
  <c r="L66" i="21"/>
  <c r="K66" i="21"/>
  <c r="J66" i="21"/>
  <c r="I66" i="21"/>
  <c r="I44" i="21"/>
  <c r="H44" i="21"/>
  <c r="L44" i="21"/>
  <c r="M44" i="21"/>
  <c r="K44" i="21"/>
  <c r="J44" i="21"/>
  <c r="I68" i="21"/>
  <c r="H68" i="21"/>
  <c r="J68" i="21"/>
  <c r="M68" i="21"/>
  <c r="L68" i="21"/>
  <c r="K68" i="21"/>
  <c r="N19" i="24" l="1"/>
  <c r="O19" i="24" s="1"/>
  <c r="N20" i="24"/>
  <c r="O20" i="24" s="1"/>
  <c r="N13" i="24"/>
  <c r="G10" i="24"/>
  <c r="N17" i="24"/>
  <c r="O17" i="24" s="1"/>
  <c r="N16" i="24"/>
  <c r="O16" i="24" s="1"/>
  <c r="N21" i="24"/>
  <c r="N15" i="24"/>
  <c r="N22" i="24"/>
  <c r="G22" i="24" s="1"/>
  <c r="N18" i="24"/>
  <c r="N14" i="24"/>
  <c r="O14" i="24" s="1"/>
  <c r="O15" i="24"/>
  <c r="G13" i="24"/>
  <c r="O21" i="24"/>
  <c r="G18" i="24"/>
  <c r="O22" i="24"/>
  <c r="G21" i="24"/>
  <c r="O13" i="24"/>
  <c r="G15" i="24"/>
  <c r="G20" i="24"/>
  <c r="O18" i="24"/>
  <c r="W31" i="24"/>
  <c r="V31" i="24"/>
  <c r="AA33" i="24"/>
  <c r="M34" i="24"/>
  <c r="Z40" i="24"/>
  <c r="N32" i="24"/>
  <c r="X40" i="24"/>
  <c r="X31" i="24"/>
  <c r="U33" i="24"/>
  <c r="T33" i="24"/>
  <c r="N34" i="24"/>
  <c r="S40" i="24"/>
  <c r="O32" i="24"/>
  <c r="Z33" i="24"/>
  <c r="Y31" i="24"/>
  <c r="V33" i="24"/>
  <c r="H34" i="24"/>
  <c r="O34" i="24"/>
  <c r="AA40" i="24"/>
  <c r="H32" i="24"/>
  <c r="T31" i="24"/>
  <c r="Z31" i="24"/>
  <c r="W33" i="24"/>
  <c r="P34" i="24"/>
  <c r="T40" i="24"/>
  <c r="V40" i="24"/>
  <c r="P32" i="24"/>
  <c r="K34" i="24"/>
  <c r="S31" i="24"/>
  <c r="X33" i="24"/>
  <c r="I34" i="24"/>
  <c r="U40" i="24"/>
  <c r="J32" i="24"/>
  <c r="I32" i="24"/>
  <c r="L32" i="24"/>
  <c r="AA31" i="24"/>
  <c r="Y33" i="24"/>
  <c r="J34" i="24"/>
  <c r="W40" i="24"/>
  <c r="K32" i="24"/>
  <c r="M32" i="24"/>
  <c r="U31" i="24"/>
  <c r="S33" i="24"/>
  <c r="L34" i="24"/>
  <c r="Y40" i="24"/>
  <c r="H9" i="20"/>
  <c r="I14" i="20"/>
  <c r="I9" i="20"/>
  <c r="I16" i="20"/>
  <c r="I17" i="20"/>
  <c r="I18" i="20"/>
  <c r="G6" i="20"/>
  <c r="H7" i="20"/>
  <c r="I7" i="20"/>
  <c r="I12" i="20"/>
  <c r="H13" i="20"/>
  <c r="I13" i="20"/>
  <c r="H11" i="20"/>
  <c r="I11" i="20"/>
  <c r="H12" i="20"/>
  <c r="H8" i="20"/>
  <c r="I8" i="20"/>
  <c r="J7" i="20"/>
  <c r="O8" i="20"/>
  <c r="N8" i="20"/>
  <c r="K9" i="20"/>
  <c r="L8" i="20"/>
  <c r="N9" i="20"/>
  <c r="K7" i="20"/>
  <c r="M8" i="20"/>
  <c r="M9" i="20"/>
  <c r="J9" i="20"/>
  <c r="O7" i="20"/>
  <c r="I10" i="24"/>
  <c r="J8" i="20"/>
  <c r="L7" i="20"/>
  <c r="O9" i="20"/>
  <c r="N7" i="20"/>
  <c r="K8" i="20"/>
  <c r="L9" i="20"/>
  <c r="M7" i="20"/>
  <c r="H10" i="24"/>
  <c r="G16" i="24" l="1"/>
  <c r="G14" i="24"/>
  <c r="G17" i="24"/>
  <c r="G19" i="24"/>
  <c r="H17" i="24"/>
  <c r="M16" i="24"/>
  <c r="T13" i="24"/>
  <c r="Q17" i="24"/>
  <c r="T16" i="24"/>
  <c r="L15" i="24"/>
  <c r="T22" i="24"/>
  <c r="U20" i="24"/>
  <c r="J17" i="24"/>
  <c r="H19" i="24"/>
  <c r="R22" i="24"/>
  <c r="T14" i="24"/>
  <c r="T18" i="24"/>
  <c r="M17" i="24"/>
  <c r="K13" i="24"/>
  <c r="U18" i="24"/>
  <c r="S18" i="24"/>
  <c r="S14" i="24"/>
  <c r="I15" i="24"/>
  <c r="R14" i="24"/>
  <c r="U17" i="24"/>
  <c r="Q16" i="24"/>
  <c r="T19" i="24"/>
  <c r="T15" i="24"/>
  <c r="I21" i="24"/>
  <c r="Q22" i="24"/>
  <c r="L16" i="24"/>
  <c r="S17" i="24"/>
  <c r="Q19" i="24"/>
  <c r="T17" i="24"/>
  <c r="R15" i="24"/>
  <c r="H20" i="24"/>
  <c r="H22" i="24"/>
  <c r="U19" i="24"/>
  <c r="M15" i="24"/>
  <c r="S21" i="24"/>
  <c r="K15" i="24"/>
  <c r="P20" i="24"/>
  <c r="L14" i="24"/>
  <c r="J20" i="24"/>
  <c r="M20" i="24"/>
  <c r="T20" i="24"/>
  <c r="P13" i="24"/>
  <c r="S15" i="24"/>
  <c r="I16" i="24"/>
  <c r="Q14" i="24"/>
  <c r="I13" i="24"/>
  <c r="H18" i="24"/>
  <c r="Q18" i="24"/>
  <c r="U15" i="24"/>
  <c r="J13" i="24"/>
  <c r="Q15" i="24"/>
  <c r="J16" i="24"/>
  <c r="L20" i="24"/>
  <c r="J14" i="24"/>
  <c r="M22" i="24"/>
  <c r="H21" i="24"/>
  <c r="R16" i="24"/>
  <c r="K21" i="24"/>
  <c r="H16" i="24"/>
  <c r="L17" i="24"/>
  <c r="M21" i="24"/>
  <c r="P22" i="24"/>
  <c r="P21" i="24"/>
  <c r="R13" i="24"/>
  <c r="L18" i="24"/>
  <c r="U21" i="24"/>
  <c r="R20" i="24"/>
  <c r="I18" i="24"/>
  <c r="U16" i="24"/>
  <c r="T21" i="24"/>
  <c r="M13" i="24"/>
  <c r="K16" i="24"/>
  <c r="J18" i="24"/>
  <c r="S20" i="24"/>
  <c r="K19" i="24"/>
  <c r="U14" i="24"/>
  <c r="L19" i="24"/>
  <c r="H13" i="24"/>
  <c r="L21" i="24"/>
  <c r="P17" i="24"/>
  <c r="R21" i="24"/>
  <c r="I19" i="24"/>
  <c r="Q21" i="24"/>
  <c r="J22" i="24"/>
  <c r="H15" i="24"/>
  <c r="L22" i="24"/>
  <c r="K22" i="24"/>
  <c r="L13" i="24"/>
  <c r="I17" i="24"/>
  <c r="P18" i="24"/>
  <c r="I14" i="24"/>
  <c r="S13" i="24"/>
  <c r="J21" i="24"/>
  <c r="I22" i="24"/>
  <c r="S22" i="24"/>
  <c r="P19" i="24"/>
  <c r="K18" i="24"/>
  <c r="I20" i="24"/>
  <c r="U13" i="24"/>
  <c r="M14" i="24"/>
  <c r="R17" i="24"/>
  <c r="H14" i="24"/>
  <c r="S19" i="24"/>
  <c r="Q13" i="24"/>
  <c r="G8" i="24" s="1"/>
  <c r="K14" i="24"/>
  <c r="S16" i="24"/>
  <c r="P14" i="24"/>
  <c r="M18" i="24"/>
  <c r="R19" i="24"/>
  <c r="P15" i="24"/>
  <c r="U22" i="24"/>
  <c r="R18" i="24"/>
  <c r="K17" i="24"/>
  <c r="Q20" i="24"/>
  <c r="K20" i="24"/>
  <c r="J19" i="24"/>
  <c r="P16" i="24"/>
  <c r="J15" i="24"/>
  <c r="M19" i="24"/>
  <c r="R22" i="19" l="1"/>
  <c r="S22" i="19" s="1"/>
  <c r="S24" i="19" s="1"/>
  <c r="R17" i="19"/>
  <c r="S17" i="19" s="1"/>
  <c r="T17" i="19" s="1"/>
  <c r="T19" i="19" s="1"/>
  <c r="R12" i="19"/>
  <c r="R14" i="19" s="1"/>
  <c r="S7" i="19"/>
  <c r="S9" i="19" s="1"/>
  <c r="R7" i="19"/>
  <c r="R9" i="19" s="1"/>
  <c r="H24" i="19"/>
  <c r="H9" i="19"/>
  <c r="M19" i="19"/>
  <c r="H13" i="19"/>
  <c r="N9" i="19"/>
  <c r="I19" i="19"/>
  <c r="J23" i="19"/>
  <c r="J14" i="19"/>
  <c r="O13" i="19"/>
  <c r="N13" i="19"/>
  <c r="O8" i="19"/>
  <c r="I24" i="19"/>
  <c r="H23" i="19"/>
  <c r="M9" i="19"/>
  <c r="N19" i="19"/>
  <c r="O9" i="19"/>
  <c r="N23" i="19"/>
  <c r="N14" i="19"/>
  <c r="I9" i="19"/>
  <c r="M24" i="19"/>
  <c r="H14" i="19"/>
  <c r="J13" i="19"/>
  <c r="N24" i="19"/>
  <c r="H19" i="19"/>
  <c r="M23" i="19"/>
  <c r="I14" i="19"/>
  <c r="J24" i="19"/>
  <c r="M18" i="19"/>
  <c r="O14" i="19"/>
  <c r="O18" i="19"/>
  <c r="H8" i="19"/>
  <c r="J9" i="19"/>
  <c r="O19" i="19"/>
  <c r="I13" i="19"/>
  <c r="N8" i="19"/>
  <c r="M14" i="19"/>
  <c r="O24" i="19"/>
  <c r="H18" i="19"/>
  <c r="J8" i="19"/>
  <c r="I8" i="19"/>
  <c r="M8" i="19"/>
  <c r="J19" i="19"/>
  <c r="J18" i="19"/>
  <c r="I23" i="19"/>
  <c r="M13" i="19"/>
  <c r="O23" i="19"/>
  <c r="I18" i="19"/>
  <c r="N18" i="19"/>
  <c r="M17" i="20"/>
  <c r="N13" i="20"/>
  <c r="K17" i="20"/>
  <c r="K11" i="20"/>
  <c r="L11" i="20"/>
  <c r="M12" i="20"/>
  <c r="O13" i="20"/>
  <c r="L14" i="20"/>
  <c r="N18" i="20"/>
  <c r="L18" i="20"/>
  <c r="N17" i="20"/>
  <c r="J12" i="20"/>
  <c r="M13" i="20"/>
  <c r="L12" i="20"/>
  <c r="M14" i="20"/>
  <c r="J11" i="20"/>
  <c r="M16" i="20"/>
  <c r="K13" i="20"/>
  <c r="N16" i="20"/>
  <c r="N12" i="20"/>
  <c r="L13" i="20"/>
  <c r="K16" i="20"/>
  <c r="J16" i="20"/>
  <c r="K12" i="20"/>
  <c r="O12" i="20"/>
  <c r="O17" i="20"/>
  <c r="O18" i="20"/>
  <c r="O11" i="20"/>
  <c r="J13" i="20"/>
  <c r="L17" i="20"/>
  <c r="N11" i="20"/>
  <c r="K14" i="20"/>
  <c r="O16" i="20"/>
  <c r="N14" i="20"/>
  <c r="M18" i="20"/>
  <c r="K18" i="20"/>
  <c r="O14" i="20"/>
  <c r="J17" i="20"/>
  <c r="M11" i="20"/>
  <c r="L16" i="20"/>
  <c r="J14" i="20"/>
  <c r="J18" i="20"/>
  <c r="T22" i="19" l="1"/>
  <c r="T7" i="19"/>
  <c r="S12" i="19"/>
  <c r="R13" i="19"/>
  <c r="R8" i="19"/>
  <c r="R23" i="19"/>
  <c r="S8" i="19"/>
  <c r="R19" i="19"/>
  <c r="S23" i="19"/>
  <c r="T18" i="19"/>
  <c r="S19" i="19"/>
  <c r="R18" i="19"/>
  <c r="R24" i="19"/>
  <c r="S18" i="19"/>
  <c r="T12" i="19" l="1"/>
  <c r="T14" i="19" s="1"/>
  <c r="T8" i="19"/>
  <c r="T23" i="19"/>
  <c r="S14" i="19"/>
  <c r="T24" i="19"/>
  <c r="T9" i="19"/>
  <c r="S13" i="19"/>
  <c r="T13" i="19" l="1"/>
</calcChain>
</file>

<file path=xl/sharedStrings.xml><?xml version="1.0" encoding="utf-8"?>
<sst xmlns="http://schemas.openxmlformats.org/spreadsheetml/2006/main" count="186" uniqueCount="80">
  <si>
    <t>BRN 1!-ICE</t>
  </si>
  <si>
    <t>Last</t>
  </si>
  <si>
    <t>Bid</t>
  </si>
  <si>
    <t>Ask</t>
  </si>
  <si>
    <t>GAS 1!-ICE</t>
  </si>
  <si>
    <t>BRN 1!-ICE[EUR]</t>
  </si>
  <si>
    <t>Currency Conversion</t>
  </si>
  <si>
    <t>Unit of Measure Conversion</t>
  </si>
  <si>
    <t>BRN 1!-ICE[GAL]</t>
  </si>
  <si>
    <t>Unit of Measure &amp; Currency Conversion</t>
  </si>
  <si>
    <t>BRN 1!-ICE[EUR/GAL]</t>
  </si>
  <si>
    <t>Real Time Quotes</t>
  </si>
  <si>
    <t>Historical Index - Days</t>
  </si>
  <si>
    <t>Historical Index - Hours</t>
  </si>
  <si>
    <t>Historical Index - Weekly</t>
  </si>
  <si>
    <t>Historical Index - Monthly</t>
  </si>
  <si>
    <t>Historical Date</t>
  </si>
  <si>
    <t>Historical Date and Time</t>
  </si>
  <si>
    <t>Weekly Average</t>
  </si>
  <si>
    <t>Monthly Average</t>
  </si>
  <si>
    <t>Data Points</t>
  </si>
  <si>
    <t>Description</t>
  </si>
  <si>
    <t>Open</t>
  </si>
  <si>
    <t>High</t>
  </si>
  <si>
    <t>Low</t>
  </si>
  <si>
    <t>Volume</t>
  </si>
  <si>
    <t>Open Interest</t>
  </si>
  <si>
    <t>Net Change</t>
  </si>
  <si>
    <t>%BRN 1!-ICE</t>
  </si>
  <si>
    <t>WBS 1!-ICE</t>
  </si>
  <si>
    <t>GAS 3!-ICE</t>
  </si>
  <si>
    <t xml:space="preserve">WBS 18F:BRN18F-ICE </t>
  </si>
  <si>
    <t>WBS 1!:2!-ICE</t>
  </si>
  <si>
    <t>UHO 7!:8!-ICE</t>
  </si>
  <si>
    <t>='WBS 1!-ICE' - 'BRN 1!-ICE'</t>
  </si>
  <si>
    <t>='%XRB 1!;7E' * 42 - '%CL 1!'</t>
  </si>
  <si>
    <t>=('NG 1!'+'NG 2!'+'NG 3!') /3</t>
  </si>
  <si>
    <t>='%HO 1!;11E' * 42 - '%BRN 1!-ICE'</t>
  </si>
  <si>
    <t>Quote Table</t>
  </si>
  <si>
    <t>'3 MONTH HENRY HUB'</t>
  </si>
  <si>
    <t>'RBOB CRACK'</t>
  </si>
  <si>
    <t>'NON EXCHANGE SPREAD'</t>
  </si>
  <si>
    <t>'HEAT BRENT CRACK'</t>
  </si>
  <si>
    <t>Time Series</t>
  </si>
  <si>
    <t>WTI CRUDE 1 MONTH</t>
  </si>
  <si>
    <t>Time and Sales</t>
  </si>
  <si>
    <t>Size (B/A)</t>
  </si>
  <si>
    <t>Price</t>
  </si>
  <si>
    <t>Size</t>
  </si>
  <si>
    <t>Type</t>
  </si>
  <si>
    <t>TRADE</t>
  </si>
  <si>
    <t>Time</t>
  </si>
  <si>
    <t>TAS - 2 Minutes till Now</t>
  </si>
  <si>
    <t>BRN-ICE</t>
  </si>
  <si>
    <t>Symbol</t>
  </si>
  <si>
    <t>Calls</t>
  </si>
  <si>
    <t>Puts</t>
  </si>
  <si>
    <t>Strike</t>
  </si>
  <si>
    <t>Options</t>
  </si>
  <si>
    <t>Formula Builder</t>
  </si>
  <si>
    <t>same as time series</t>
  </si>
  <si>
    <t>formulas and studies</t>
  </si>
  <si>
    <t xml:space="preserve">add formula - </t>
  </si>
  <si>
    <t xml:space="preserve">can pull multiple formula data </t>
  </si>
  <si>
    <t>use wizard</t>
  </si>
  <si>
    <t>Getting Started</t>
  </si>
  <si>
    <t>The Data Point button, found in the ICE Data Services ribbon, is a flexible tool which can generate all of these outputs.  It uses an intuitive syntax that can linked to other cells.
To modify these cells, either select the desired output cell and click Data Point from the ribbon, or manually change the syntax in excel.</t>
  </si>
  <si>
    <r>
      <t xml:space="preserve">The Quote Table is dynamic and will change the data it is populating depending on the </t>
    </r>
    <r>
      <rPr>
        <b/>
        <sz val="11"/>
        <color theme="1"/>
        <rFont val="Arial"/>
        <family val="2"/>
        <scheme val="minor"/>
      </rPr>
      <t>bold</t>
    </r>
    <r>
      <rPr>
        <sz val="11"/>
        <color theme="1"/>
        <rFont val="Arial"/>
        <family val="2"/>
        <scheme val="minor"/>
      </rPr>
      <t xml:space="preserve"> Headings and symbols</t>
    </r>
  </si>
  <si>
    <r>
      <t xml:space="preserve">Please try, type </t>
    </r>
    <r>
      <rPr>
        <b/>
        <sz val="11"/>
        <color theme="1"/>
        <rFont val="Arial"/>
        <family val="2"/>
        <scheme val="minor"/>
      </rPr>
      <t>Bid</t>
    </r>
    <r>
      <rPr>
        <sz val="11"/>
        <color theme="1"/>
        <rFont val="Arial"/>
        <family val="2"/>
        <scheme val="minor"/>
      </rPr>
      <t xml:space="preserve"> in I:6 and </t>
    </r>
    <r>
      <rPr>
        <b/>
        <sz val="11"/>
        <color theme="1"/>
        <rFont val="Arial"/>
        <family val="2"/>
        <scheme val="minor"/>
      </rPr>
      <t>Ask</t>
    </r>
    <r>
      <rPr>
        <sz val="11"/>
        <color theme="1"/>
        <rFont val="Arial"/>
        <family val="2"/>
        <scheme val="minor"/>
      </rPr>
      <t xml:space="preserve"> in J:6, then select REFRESH &gt; Refresh selected sheet from the ICE Data Services Ribbon</t>
    </r>
  </si>
  <si>
    <t>Data Point</t>
  </si>
  <si>
    <t>The Time Series is a powerful tool that can be used to request historic data in various ranges and formats</t>
  </si>
  <si>
    <t>Please see other examples of how Time Series can be used. Select a Cell with 'Time Series' and then select 'Time Series' from the ICE Data Services Ribbon to change the parameters of the existing Time Series</t>
  </si>
  <si>
    <t>The Time and Sales function can be used to retrieve time and Sales data from specific ranges in the past, up to live</t>
  </si>
  <si>
    <t>The Time and Sales tables are dyanamic- as with all of the ICE XL tools- try changing the symbols then select REFRESH &gt; Refresh selected sheet from the ICE Data Services Ribbon</t>
  </si>
  <si>
    <t>The Options tool can be used to view Options contracts in a variety of ways</t>
  </si>
  <si>
    <t>The examples of this are shown here. These tables will populate with live text data that includes Implied Volatility and the Greeks</t>
  </si>
  <si>
    <t>Andrew McSween</t>
  </si>
  <si>
    <t>IBM</t>
  </si>
  <si>
    <t>IBM 2022-01-28</t>
  </si>
  <si>
    <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</si>
</sst>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400]h:mm:ss\ AM/PM"/>
    <numFmt numFmtId="165" formatCode="mm/dd/yyyy\ hh:mm:ss"/>
    <numFmt numFmtId="166" formatCode="mm/dd/yyyy"/>
    <numFmt numFmtId="169" formatCode="hh:mm:ss"/>
  </numFmts>
  <fonts count="15" x14ac:knownFonts="1">
    <font>
      <sz val="12"/>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u/>
      <sz val="12"/>
      <color theme="10"/>
      <name val="Arial"/>
      <family val="2"/>
      <scheme val="minor"/>
    </font>
    <font>
      <u/>
      <sz val="12"/>
      <color theme="11"/>
      <name val="Arial"/>
      <family val="2"/>
      <scheme val="minor"/>
    </font>
    <font>
      <sz val="10"/>
      <color theme="1"/>
      <name val="Arial"/>
      <family val="2"/>
      <scheme val="minor"/>
    </font>
    <font>
      <b/>
      <sz val="11"/>
      <color theme="1"/>
      <name val="Arial"/>
      <family val="2"/>
      <scheme val="minor"/>
    </font>
    <font>
      <sz val="11"/>
      <color theme="1"/>
      <name val="Arial"/>
      <family val="2"/>
      <scheme val="minor"/>
    </font>
    <font>
      <b/>
      <sz val="14"/>
      <color theme="1"/>
      <name val="Arial"/>
      <family val="2"/>
      <scheme val="minor"/>
    </font>
    <font>
      <b/>
      <sz val="16"/>
      <color theme="1"/>
      <name val="Arial"/>
      <family val="2"/>
      <scheme val="minor"/>
    </font>
    <font>
      <b/>
      <i/>
      <sz val="11"/>
      <color theme="1"/>
      <name val="Arial"/>
      <family val="2"/>
      <scheme val="minor"/>
    </font>
    <font>
      <b/>
      <sz val="11"/>
      <color theme="0"/>
      <name val="Arial"/>
      <family val="2"/>
      <scheme val="minor"/>
    </font>
    <font>
      <b/>
      <sz val="24"/>
      <color theme="1" tint="-0.249977111117893"/>
      <name val="Arial"/>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7" tint="0.39997558519241921"/>
        <bgColor indexed="64"/>
      </patternFill>
    </fill>
    <fill>
      <patternFill patternType="solid">
        <fgColor theme="1" tint="-0.249977111117893"/>
        <bgColor indexed="64"/>
      </patternFill>
    </fill>
    <fill>
      <patternFill patternType="solid">
        <fgColor theme="0" tint="-4.9989318521683403E-2"/>
        <bgColor indexed="64"/>
      </patternFill>
    </fill>
  </fills>
  <borders count="4">
    <border>
      <left/>
      <right/>
      <top/>
      <bottom/>
      <diagonal/>
    </border>
    <border>
      <left/>
      <right/>
      <top/>
      <bottom style="thin">
        <color auto="1"/>
      </bottom>
      <diagonal/>
    </border>
    <border>
      <left/>
      <right/>
      <top style="thin">
        <color indexed="64"/>
      </top>
      <bottom/>
      <diagonal/>
    </border>
    <border>
      <left/>
      <right style="thin">
        <color indexed="64"/>
      </right>
      <top/>
      <bottom style="thin">
        <color indexed="64"/>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cellStyleXfs>
  <cellXfs count="87">
    <xf numFmtId="0" fontId="0" fillId="0" borderId="0" xfId="0"/>
    <xf numFmtId="0" fontId="9" fillId="2" borderId="0" xfId="5" applyFill="1"/>
    <xf numFmtId="0" fontId="9" fillId="0" borderId="0" xfId="5"/>
    <xf numFmtId="0" fontId="9" fillId="3" borderId="0" xfId="5" applyFill="1"/>
    <xf numFmtId="0" fontId="0" fillId="4" borderId="0" xfId="0" applyFill="1"/>
    <xf numFmtId="0" fontId="7" fillId="4" borderId="0" xfId="0" applyFont="1" applyFill="1" applyAlignment="1">
      <alignment horizontal="left"/>
    </xf>
    <xf numFmtId="0" fontId="8" fillId="2" borderId="0" xfId="5" applyFont="1" applyFill="1"/>
    <xf numFmtId="0" fontId="4" fillId="2" borderId="0" xfId="5" applyFont="1" applyFill="1"/>
    <xf numFmtId="0" fontId="8" fillId="2" borderId="1" xfId="5" applyFont="1" applyFill="1" applyBorder="1" applyAlignment="1">
      <alignment horizontal="center"/>
    </xf>
    <xf numFmtId="14" fontId="8" fillId="2" borderId="0" xfId="5" applyNumberFormat="1" applyFont="1" applyFill="1"/>
    <xf numFmtId="164" fontId="8" fillId="2" borderId="0" xfId="5" applyNumberFormat="1" applyFont="1" applyFill="1"/>
    <xf numFmtId="2" fontId="9" fillId="2" borderId="0" xfId="5" applyNumberFormat="1" applyFill="1"/>
    <xf numFmtId="0" fontId="9" fillId="5" borderId="0" xfId="5" applyFill="1"/>
    <xf numFmtId="0" fontId="9" fillId="2" borderId="0" xfId="5" applyFill="1" applyBorder="1"/>
    <xf numFmtId="0" fontId="4" fillId="2" borderId="0" xfId="5" applyFont="1" applyFill="1" applyBorder="1"/>
    <xf numFmtId="0" fontId="8" fillId="2" borderId="0" xfId="5" applyFont="1" applyFill="1" applyBorder="1"/>
    <xf numFmtId="14" fontId="8" fillId="2" borderId="0" xfId="5" applyNumberFormat="1" applyFont="1" applyFill="1" applyBorder="1"/>
    <xf numFmtId="164" fontId="8" fillId="2" borderId="0" xfId="5" applyNumberFormat="1" applyFont="1" applyFill="1" applyBorder="1"/>
    <xf numFmtId="2" fontId="9" fillId="2" borderId="0" xfId="5" applyNumberFormat="1" applyFill="1" applyBorder="1"/>
    <xf numFmtId="0" fontId="8" fillId="2" borderId="0" xfId="5" applyFont="1" applyFill="1" applyBorder="1" applyAlignment="1">
      <alignment horizontal="center"/>
    </xf>
    <xf numFmtId="0" fontId="8" fillId="2" borderId="1" xfId="5" applyNumberFormat="1" applyFont="1" applyFill="1" applyBorder="1" applyAlignment="1">
      <alignment horizontal="center"/>
    </xf>
    <xf numFmtId="0" fontId="8" fillId="2" borderId="1" xfId="5" applyFont="1" applyFill="1" applyBorder="1"/>
    <xf numFmtId="0" fontId="8" fillId="2" borderId="0" xfId="5" applyFont="1" applyFill="1" applyBorder="1" applyAlignment="1"/>
    <xf numFmtId="0" fontId="3" fillId="2" borderId="0" xfId="5" applyFont="1" applyFill="1" applyBorder="1"/>
    <xf numFmtId="0" fontId="3" fillId="2" borderId="0" xfId="5" quotePrefix="1" applyFont="1" applyFill="1" applyBorder="1"/>
    <xf numFmtId="0" fontId="9" fillId="2" borderId="1" xfId="5" applyFill="1" applyBorder="1"/>
    <xf numFmtId="0" fontId="8" fillId="2" borderId="2" xfId="5" applyFont="1" applyFill="1" applyBorder="1"/>
    <xf numFmtId="0" fontId="3" fillId="2" borderId="2" xfId="5" quotePrefix="1" applyFont="1" applyFill="1" applyBorder="1"/>
    <xf numFmtId="0" fontId="9" fillId="2" borderId="1" xfId="5" applyNumberFormat="1" applyFill="1" applyBorder="1"/>
    <xf numFmtId="0" fontId="9" fillId="2" borderId="0" xfId="5" applyFill="1" applyAlignment="1">
      <alignment horizontal="left"/>
    </xf>
    <xf numFmtId="0" fontId="3" fillId="2" borderId="0" xfId="5" applyFont="1" applyFill="1" applyBorder="1" applyAlignment="1"/>
    <xf numFmtId="21" fontId="9" fillId="2" borderId="0" xfId="5" applyNumberFormat="1" applyFill="1" applyBorder="1"/>
    <xf numFmtId="21" fontId="8" fillId="2" borderId="0" xfId="5" applyNumberFormat="1" applyFont="1" applyFill="1" applyBorder="1"/>
    <xf numFmtId="0" fontId="3" fillId="2" borderId="2" xfId="5" applyFont="1" applyFill="1" applyBorder="1"/>
    <xf numFmtId="165" fontId="3" fillId="2" borderId="0" xfId="5" applyNumberFormat="1" applyFont="1" applyFill="1" applyBorder="1"/>
    <xf numFmtId="165" fontId="3" fillId="2" borderId="0" xfId="5" applyNumberFormat="1" applyFont="1" applyFill="1" applyBorder="1" applyAlignment="1"/>
    <xf numFmtId="164" fontId="3" fillId="2" borderId="0" xfId="5" applyNumberFormat="1" applyFont="1" applyFill="1" applyBorder="1"/>
    <xf numFmtId="14" fontId="3" fillId="2" borderId="0" xfId="5" applyNumberFormat="1" applyFont="1" applyFill="1" applyBorder="1"/>
    <xf numFmtId="2" fontId="3" fillId="2" borderId="0" xfId="5" applyNumberFormat="1" applyFont="1" applyFill="1" applyBorder="1"/>
    <xf numFmtId="0" fontId="3" fillId="2" borderId="0" xfId="5" applyFont="1" applyFill="1"/>
    <xf numFmtId="21" fontId="3" fillId="2" borderId="0" xfId="5" applyNumberFormat="1" applyFont="1" applyFill="1" applyBorder="1"/>
    <xf numFmtId="21" fontId="3" fillId="2" borderId="0" xfId="5" applyNumberFormat="1" applyFont="1" applyFill="1" applyBorder="1" applyAlignment="1"/>
    <xf numFmtId="165" fontId="3" fillId="2" borderId="0" xfId="5" applyNumberFormat="1" applyFont="1" applyFill="1"/>
    <xf numFmtId="165" fontId="9" fillId="2" borderId="0" xfId="5" applyNumberFormat="1" applyFill="1"/>
    <xf numFmtId="0" fontId="12" fillId="2" borderId="0" xfId="5" applyFont="1" applyFill="1" applyBorder="1"/>
    <xf numFmtId="0" fontId="9" fillId="2" borderId="0" xfId="5" applyNumberFormat="1" applyFill="1"/>
    <xf numFmtId="0" fontId="8" fillId="2" borderId="0" xfId="5" applyFont="1" applyFill="1" applyBorder="1" applyAlignment="1">
      <alignment horizontal="center"/>
    </xf>
    <xf numFmtId="0" fontId="8" fillId="2" borderId="1" xfId="5" applyFont="1" applyFill="1" applyBorder="1" applyAlignment="1">
      <alignment horizontal="center"/>
    </xf>
    <xf numFmtId="0" fontId="10" fillId="2" borderId="0" xfId="5" applyFont="1" applyFill="1" applyBorder="1" applyAlignment="1">
      <alignment horizontal="center"/>
    </xf>
    <xf numFmtId="22" fontId="0" fillId="4" borderId="0" xfId="0" applyNumberFormat="1" applyFill="1"/>
    <xf numFmtId="0" fontId="2" fillId="2" borderId="0" xfId="5" applyFont="1" applyFill="1" applyAlignment="1">
      <alignment horizontal="center" vertical="center" wrapText="1"/>
    </xf>
    <xf numFmtId="0" fontId="8" fillId="2" borderId="0" xfId="5" applyFont="1" applyFill="1" applyBorder="1" applyAlignment="1">
      <alignment horizontal="center"/>
    </xf>
    <xf numFmtId="0" fontId="11" fillId="2" borderId="1" xfId="5" applyFont="1" applyFill="1" applyBorder="1" applyAlignment="1">
      <alignment horizontal="center"/>
    </xf>
    <xf numFmtId="0" fontId="2" fillId="2" borderId="0" xfId="5" applyFont="1" applyFill="1" applyAlignment="1">
      <alignment horizontal="center"/>
    </xf>
    <xf numFmtId="0" fontId="9" fillId="2" borderId="0" xfId="5" applyFill="1" applyAlignment="1">
      <alignment horizontal="center"/>
    </xf>
    <xf numFmtId="0" fontId="8" fillId="2" borderId="1" xfId="5" applyFont="1" applyFill="1" applyBorder="1" applyAlignment="1">
      <alignment horizontal="center"/>
    </xf>
    <xf numFmtId="14" fontId="0" fillId="4" borderId="0" xfId="0" applyNumberFormat="1" applyFill="1"/>
    <xf numFmtId="0" fontId="14" fillId="4" borderId="0" xfId="0" applyFont="1" applyFill="1"/>
    <xf numFmtId="0" fontId="9" fillId="6" borderId="0" xfId="5" applyFill="1"/>
    <xf numFmtId="0" fontId="13" fillId="6" borderId="1" xfId="5" applyFont="1" applyFill="1" applyBorder="1" applyAlignment="1">
      <alignment horizontal="center"/>
    </xf>
    <xf numFmtId="0" fontId="8" fillId="2" borderId="0" xfId="5" applyNumberFormat="1" applyFont="1" applyFill="1" applyBorder="1"/>
    <xf numFmtId="165" fontId="8" fillId="2" borderId="0" xfId="5" applyNumberFormat="1" applyFont="1" applyFill="1" applyBorder="1" applyAlignment="1"/>
    <xf numFmtId="166" fontId="9" fillId="2" borderId="0" xfId="5" applyNumberFormat="1" applyFill="1" applyBorder="1"/>
    <xf numFmtId="0" fontId="2" fillId="6" borderId="0" xfId="5" applyFont="1" applyFill="1" applyAlignment="1">
      <alignment vertical="center" wrapText="1"/>
    </xf>
    <xf numFmtId="0" fontId="10" fillId="2" borderId="0" xfId="5" applyFont="1" applyFill="1" applyBorder="1" applyAlignment="1">
      <alignment horizontal="right"/>
    </xf>
    <xf numFmtId="0" fontId="8" fillId="2" borderId="0" xfId="5" applyFont="1" applyFill="1" applyBorder="1" applyAlignment="1">
      <alignment horizontal="right"/>
    </xf>
    <xf numFmtId="0" fontId="9" fillId="2" borderId="0" xfId="5" applyFill="1" applyBorder="1" applyAlignment="1">
      <alignment horizontal="right"/>
    </xf>
    <xf numFmtId="0" fontId="9" fillId="2" borderId="1" xfId="5" applyNumberFormat="1" applyFill="1" applyBorder="1" applyAlignment="1">
      <alignment horizontal="right"/>
    </xf>
    <xf numFmtId="0" fontId="1" fillId="2" borderId="1" xfId="5" applyFont="1" applyFill="1" applyBorder="1" applyAlignment="1">
      <alignment horizontal="right" vertical="center"/>
    </xf>
    <xf numFmtId="0" fontId="4" fillId="2" borderId="1" xfId="5" applyFont="1" applyFill="1" applyBorder="1" applyAlignment="1">
      <alignment horizontal="right"/>
    </xf>
    <xf numFmtId="0" fontId="8" fillId="2" borderId="1" xfId="5" applyFont="1" applyFill="1" applyBorder="1" applyAlignment="1">
      <alignment horizontal="right"/>
    </xf>
    <xf numFmtId="166" fontId="3" fillId="2" borderId="0" xfId="5" applyNumberFormat="1" applyFont="1" applyFill="1" applyBorder="1" applyAlignment="1">
      <alignment horizontal="right"/>
    </xf>
    <xf numFmtId="0" fontId="3" fillId="2" borderId="0" xfId="5" applyFont="1" applyFill="1" applyBorder="1" applyAlignment="1">
      <alignment horizontal="right"/>
    </xf>
    <xf numFmtId="166" fontId="3" fillId="2" borderId="0" xfId="5" applyNumberFormat="1" applyFont="1" applyFill="1" applyAlignment="1">
      <alignment horizontal="right"/>
    </xf>
    <xf numFmtId="0" fontId="3" fillId="2" borderId="0" xfId="5" applyFont="1" applyFill="1" applyAlignment="1">
      <alignment horizontal="right"/>
    </xf>
    <xf numFmtId="166" fontId="9" fillId="2" borderId="0" xfId="5" applyNumberFormat="1" applyFill="1" applyAlignment="1">
      <alignment horizontal="right"/>
    </xf>
    <xf numFmtId="0" fontId="9" fillId="2" borderId="0" xfId="5" applyFill="1" applyAlignment="1">
      <alignment horizontal="right"/>
    </xf>
    <xf numFmtId="0" fontId="9" fillId="7" borderId="0" xfId="5" applyFill="1"/>
    <xf numFmtId="0" fontId="1" fillId="2" borderId="0" xfId="5" applyFont="1" applyFill="1" applyBorder="1" applyAlignment="1">
      <alignment vertical="center"/>
    </xf>
    <xf numFmtId="169" fontId="3" fillId="2" borderId="0" xfId="5" applyNumberFormat="1" applyFont="1" applyFill="1" applyBorder="1"/>
    <xf numFmtId="169" fontId="3" fillId="2" borderId="0" xfId="5" applyNumberFormat="1" applyFont="1" applyFill="1" applyBorder="1" applyAlignment="1"/>
    <xf numFmtId="169" fontId="8" fillId="2" borderId="0" xfId="5" applyNumberFormat="1" applyFont="1" applyFill="1" applyBorder="1"/>
    <xf numFmtId="169" fontId="9" fillId="2" borderId="0" xfId="5" applyNumberFormat="1" applyFill="1" applyBorder="1"/>
    <xf numFmtId="169" fontId="9" fillId="2" borderId="0" xfId="5" applyNumberFormat="1" applyFill="1"/>
    <xf numFmtId="169" fontId="8" fillId="2" borderId="0" xfId="5" applyNumberFormat="1" applyFont="1" applyFill="1"/>
    <xf numFmtId="0" fontId="8" fillId="2" borderId="3" xfId="5" applyFont="1" applyFill="1" applyBorder="1" applyAlignment="1">
      <alignment horizontal="center"/>
    </xf>
    <xf numFmtId="0" fontId="8" fillId="2" borderId="1" xfId="5" applyFont="1" applyFill="1" applyBorder="1" applyAlignment="1"/>
  </cellXfs>
  <cellStyles count="6">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5" xr:uid="{00000000-0005-0000-0000-000005000000}"/>
  </cellStyles>
  <dxfs count="0"/>
  <tableStyles count="0" defaultTableStyle="TableStyleMedium9" defaultPivotStyle="PivotStyleMedium4"/>
  <colors>
    <mruColors>
      <color rgb="FF0039A6"/>
      <color rgb="FF81D548"/>
      <color rgb="FFE3F4FA"/>
      <color rgb="FFC7E8F5"/>
      <color rgb="FFAADDF0"/>
      <color rgb="FF8ED2EB"/>
      <color rgb="FF72C7E7"/>
      <color rgb="FFA2A4A3"/>
      <color rgb="FFCDD8ED"/>
      <color rgb="FF9AB0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fsxl">
      <tp>
        <v>89.88</v>
        <stp/>
        <stp>*H</stp>
        <stp>BRN 1!-ICE</stp>
        <stp>Last</stp>
        <stp>I60</stp>
        <stp>44588.625</stp>
        <tr r="R13" s="19"/>
      </tp>
    </main>
    <main first="fsxl">
      <tp>
        <v>789.75</v>
        <stp/>
        <stp>*H</stp>
        <stp>GAS 1!-ICE</stp>
        <stp>Last</stp>
        <stp>D</stp>
        <stp/>
        <stp>0</stp>
        <tr r="M9" s="19"/>
      </tp>
      <tp>
        <v>801.25</v>
        <stp/>
        <stp>*H</stp>
        <stp>GAS 1!-ICE</stp>
        <stp>Last</stp>
        <stp>M</stp>
        <stp/>
        <stp>0</stp>
        <tr r="M24" s="19"/>
      </tp>
      <tp>
        <v>801.25</v>
        <stp/>
        <stp>*H</stp>
        <stp>GAS 1!-ICE</stp>
        <stp>Last</stp>
        <stp>W</stp>
        <stp/>
        <stp>0</stp>
        <tr r="M19" s="19"/>
      </tp>
      <tp>
        <v>787.5</v>
        <stp/>
        <stp>*H</stp>
        <stp>GAS 1!-ICE</stp>
        <stp>Last</stp>
        <stp>D</stp>
        <stp/>
        <stp>1</stp>
        <tr r="N9" s="19"/>
      </tp>
      <tp>
        <v>666.25</v>
        <stp/>
        <stp>*H</stp>
        <stp>GAS 1!-ICE</stp>
        <stp>Last</stp>
        <stp>M</stp>
        <stp/>
        <stp>1</stp>
        <tr r="N24" s="19"/>
      </tp>
      <tp>
        <v>769.25</v>
        <stp/>
        <stp>*H</stp>
        <stp>GAS 1!-ICE</stp>
        <stp>Last</stp>
        <stp>W</stp>
        <stp/>
        <stp>1</stp>
        <tr r="N19" s="19"/>
      </tp>
      <tp>
        <v>761.5</v>
        <stp/>
        <stp>*H</stp>
        <stp>GAS 1!-ICE</stp>
        <stp>Last</stp>
        <stp>D</stp>
        <stp/>
        <stp>2</stp>
        <tr r="O9" s="19"/>
      </tp>
      <tp>
        <v>596.5</v>
        <stp/>
        <stp>*H</stp>
        <stp>GAS 1!-ICE</stp>
        <stp>Last</stp>
        <stp>M</stp>
        <stp/>
        <stp>2</stp>
        <tr r="O24" s="19"/>
      </tp>
      <tp>
        <v>749.25</v>
        <stp/>
        <stp>*H</stp>
        <stp>GAS 1!-ICE</stp>
        <stp>Last</stp>
        <stp>W</stp>
        <stp/>
        <stp>2</stp>
        <tr r="O19" s="19"/>
      </tp>
    </main>
    <main first="fsxl">
      <tp t="s">
        <v>HEATING OIL</v>
        <stp/>
        <stp>UHO 7!:8!-ICE</stp>
        <stp>Description</stp>
        <tr r="H13" s="20"/>
      </tp>
    </main>
    <main first="fsxl">
      <tp>
        <v>18.794999999999987</v>
        <stp/>
        <stp>='%XRB 1!;7E' * 42 - '%CL 1!'</stp>
        <stp>Low</stp>
        <tr r="K16" s="20"/>
      </tp>
    </main>
    <main first="fsxl">
      <tp>
        <v>1.27</v>
        <stp/>
        <stp>WBS 1!:2!-ICE</stp>
        <stp>Low</stp>
        <tr r="K12" s="20"/>
      </tp>
    </main>
    <main first="fsxl">
      <tp>
        <v>23.181999999999988</v>
        <stp/>
        <stp>='%HO 1!;11E' * 42 - '%BRN 1!-ICE'</stp>
        <stp>Low</stp>
        <tr r="K18" s="20"/>
      </tp>
    </main>
    <main first="fsxl">
      <tp>
        <v>89.75</v>
        <stp/>
        <stp>*OBST</stp>
        <stp>BRN-ICE</stp>
        <stp>4</stp>
        <tr r="N22" s="24"/>
      </tp>
      <tp>
        <v>89.5</v>
        <stp/>
        <stp>*OBST</stp>
        <stp>BRN-ICE</stp>
        <stp>3</stp>
        <tr r="N21" s="24"/>
      </tp>
      <tp>
        <v>89.25</v>
        <stp/>
        <stp>*OBST</stp>
        <stp>BRN-ICE</stp>
        <stp>2</stp>
        <tr r="N20" s="24"/>
      </tp>
      <tp>
        <v>89</v>
        <stp/>
        <stp>*OBST</stp>
        <stp>BRN-ICE</stp>
        <stp>1</stp>
        <tr r="N19" s="24"/>
      </tp>
      <tp>
        <v>88.75</v>
        <stp/>
        <stp>*OBST</stp>
        <stp>BRN-ICE</stp>
        <stp>0</stp>
        <tr r="N18" s="24"/>
      </tp>
    </main>
    <main first="ice.xl">
      <tp>
        <v>-1.74</v>
        <stp/>
        <stp>*Q</stp>
        <stp>IBM</stp>
        <stp>Change</stp>
        <tr r="I28" s="24"/>
      </tp>
    </main>
    <main first="fsxl">
      <tp>
        <v>87.75</v>
        <stp/>
        <stp>*OBST</stp>
        <stp>BRN-ICE</stp>
        <stp>-4</stp>
        <tr r="N14" s="24"/>
      </tp>
      <tp>
        <v>87.5</v>
        <stp/>
        <stp>*OBST</stp>
        <stp>BRN-ICE</stp>
        <stp>-5</stp>
        <tr r="N13" s="24"/>
      </tp>
      <tp>
        <v>88.5</v>
        <stp/>
        <stp>*OBST</stp>
        <stp>BRN-ICE</stp>
        <stp>-1</stp>
        <tr r="N17" s="24"/>
      </tp>
      <tp>
        <v>88.25</v>
        <stp/>
        <stp>*OBST</stp>
        <stp>BRN-ICE</stp>
        <stp>-2</stp>
        <tr r="N16" s="24"/>
      </tp>
      <tp>
        <v>88</v>
        <stp/>
        <stp>*OBST</stp>
        <stp>BRN-ICE</stp>
        <stp>-3</stp>
        <tr r="N15" s="24"/>
      </tp>
    </main>
    <main first="ice.xl">
      <tp>
        <v>44588.634525462963</v>
        <stp/>
        <stp>*Q</stp>
        <stp>O:IBM 22M129.00D28</stp>
        <stp>Time</stp>
        <tr r="Y32" s="24"/>
      </tp>
      <tp>
        <v>44588.634525462963</v>
        <stp/>
        <stp>*Q</stp>
        <stp>O:IBM 22M128.00D28</stp>
        <stp>Time</stp>
        <tr r="Y31" s="24"/>
      </tp>
      <tp>
        <v>44588.63453703704</v>
        <stp/>
        <stp>*Q</stp>
        <stp>O:IBM 22M137.00D28</stp>
        <stp>Time</stp>
        <tr r="Y40" s="24"/>
      </tp>
      <tp>
        <v>44588.634525462963</v>
        <stp/>
        <stp>*Q</stp>
        <stp>O:IBM 22M136.00D28</stp>
        <stp>Time</stp>
        <tr r="Y39" s="24"/>
      </tp>
      <tp>
        <v>44588.634525462963</v>
        <stp/>
        <stp>*Q</stp>
        <stp>O:IBM 22M135.00D28</stp>
        <stp>Time</stp>
        <tr r="Y38" s="24"/>
      </tp>
      <tp>
        <v>44588.634525462963</v>
        <stp/>
        <stp>*Q</stp>
        <stp>O:IBM 22M134.00D28</stp>
        <stp>Time</stp>
        <tr r="Y37" s="24"/>
      </tp>
      <tp>
        <v>44588.634525462963</v>
        <stp/>
        <stp>*Q</stp>
        <stp>O:IBM 22M133.00D28</stp>
        <stp>Time</stp>
        <tr r="Y36" s="24"/>
      </tp>
      <tp>
        <v>44588.634525462963</v>
        <stp/>
        <stp>*Q</stp>
        <stp>O:IBM 22M132.00D28</stp>
        <stp>Time</stp>
        <tr r="Y35" s="24"/>
      </tp>
      <tp>
        <v>44588.634525462963</v>
        <stp/>
        <stp>*Q</stp>
        <stp>O:IBM 22M131.00D28</stp>
        <stp>Time</stp>
        <tr r="Y34" s="24"/>
      </tp>
      <tp>
        <v>44588.634525462963</v>
        <stp/>
        <stp>*Q</stp>
        <stp>O:IBM 22M130.00D28</stp>
        <stp>Time</stp>
        <tr r="Y33" s="24"/>
      </tp>
    </main>
    <main first="ice.xl">
      <tp>
        <v>1.75</v>
        <stp/>
        <stp>*Q</stp>
        <stp>O:IBM 22M133.00D28</stp>
        <stp>High</stp>
        <tr r="U36" s="24"/>
      </tp>
      <tp>
        <v>1.17</v>
        <stp/>
        <stp>*Q</stp>
        <stp>O:IBM 22M132.00D28</stp>
        <stp>High</stp>
        <tr r="U35" s="24"/>
      </tp>
      <tp>
        <v>0.81</v>
        <stp/>
        <stp>*Q</stp>
        <stp>O:IBM 22M131.00D28</stp>
        <stp>High</stp>
        <tr r="U34" s="24"/>
      </tp>
      <tp>
        <v>0.54</v>
        <stp/>
        <stp>*Q</stp>
        <stp>O:IBM 22M130.00D28</stp>
        <stp>High</stp>
        <tr r="U33" s="24"/>
      </tp>
      <tp>
        <v>4.5999999999999996</v>
        <stp/>
        <stp>*Q</stp>
        <stp>O:IBM 22M137.00D28</stp>
        <stp>High</stp>
        <tr r="U40" s="24"/>
      </tp>
      <tp>
        <v>3.75</v>
        <stp/>
        <stp>*Q</stp>
        <stp>O:IBM 22M136.00D28</stp>
        <stp>High</stp>
        <tr r="U39" s="24"/>
      </tp>
      <tp>
        <v>3</v>
        <stp/>
        <stp>*Q</stp>
        <stp>O:IBM 22M135.00D28</stp>
        <stp>High</stp>
        <tr r="U38" s="24"/>
      </tp>
      <tp>
        <v>2.4</v>
        <stp/>
        <stp>*Q</stp>
        <stp>O:IBM 22M134.00D28</stp>
        <stp>High</stp>
        <tr r="U37" s="24"/>
      </tp>
      <tp>
        <v>0.36</v>
        <stp/>
        <stp>*Q</stp>
        <stp>O:IBM 22M129.00D28</stp>
        <stp>High</stp>
        <tr r="U32" s="24"/>
      </tp>
      <tp>
        <v>0.24</v>
        <stp/>
        <stp>*Q</stp>
        <stp>O:IBM 22M128.00D28</stp>
        <stp>High</stp>
        <tr r="U31" s="24"/>
      </tp>
    </main>
    <main first="ice.xl">
      <tp t="s">
        <v>LIGHT CRUDE OIL-WTI</v>
        <stp/>
        <stp>WBS 1!-ICE</stp>
        <stp>Description</stp>
        <tr r="I18" s="21"/>
        <tr r="L18" s="21"/>
        <tr r="H18" s="21"/>
        <tr r="M18" s="21"/>
        <tr r="K18" s="21"/>
        <tr r="J18" s="21"/>
      </tp>
    </main>
    <main first="ice.xl">
      <tp>
        <v>0.08</v>
        <stp/>
        <stp>*Q</stp>
        <stp>O:IBM 22A137.00D28</stp>
        <stp>Last</stp>
        <tr r="L40" s="24"/>
      </tp>
      <tp>
        <v>0.15</v>
        <stp/>
        <stp>*Q</stp>
        <stp>O:IBM 22A136.00D28</stp>
        <stp>Last</stp>
        <tr r="L39" s="24"/>
      </tp>
      <tp>
        <v>0.35</v>
        <stp/>
        <stp>*Q</stp>
        <stp>O:IBM 22A135.00D28</stp>
        <stp>Last</stp>
        <tr r="L38" s="24"/>
      </tp>
      <tp>
        <v>0.6</v>
        <stp/>
        <stp>*Q</stp>
        <stp>O:IBM 22A134.00D28</stp>
        <stp>Last</stp>
        <tr r="L37" s="24"/>
      </tp>
      <tp>
        <v>0.9</v>
        <stp/>
        <stp>*Q</stp>
        <stp>O:IBM 22A133.00D28</stp>
        <stp>Last</stp>
        <tr r="L36" s="24"/>
      </tp>
      <tp>
        <v>1.62</v>
        <stp/>
        <stp>*Q</stp>
        <stp>O:IBM 22A132.00D28</stp>
        <stp>Last</stp>
        <tr r="L35" s="24"/>
      </tp>
      <tp>
        <v>2.4500000000000002</v>
        <stp/>
        <stp>*Q</stp>
        <stp>O:IBM 22A131.00D28</stp>
        <stp>Last</stp>
        <tr r="L34" s="24"/>
      </tp>
      <tp>
        <v>3.05</v>
        <stp/>
        <stp>*Q</stp>
        <stp>O:IBM 22A130.00D28</stp>
        <stp>Last</stp>
        <tr r="L33" s="24"/>
      </tp>
      <tp>
        <v>4.33</v>
        <stp/>
        <stp>*Q</stp>
        <stp>O:IBM 22A129.00D28</stp>
        <stp>Last</stp>
        <tr r="L32" s="24"/>
      </tp>
      <tp>
        <v>4.5199999999999996</v>
        <stp/>
        <stp>*Q</stp>
        <stp>O:IBM 22A128.00D28</stp>
        <stp>Last</stp>
        <tr r="L31" s="24"/>
      </tp>
    </main>
    <main first="ice.xl">
      <tp>
        <v>137</v>
        <stp/>
        <stp>*OBSTE</stp>
        <stp>IBM 2022-01-28</stp>
        <stp>4</stp>
        <tr r="Q40" s="24"/>
      </tp>
      <tp>
        <v>135</v>
        <stp/>
        <stp>*OBSTE</stp>
        <stp>IBM 2022-01-28</stp>
        <stp>2</stp>
        <tr r="Q38" s="24"/>
      </tp>
      <tp>
        <v>136</v>
        <stp/>
        <stp>*OBSTE</stp>
        <stp>IBM 2022-01-28</stp>
        <stp>3</stp>
        <tr r="Q39" s="24"/>
      </tp>
      <tp>
        <v>133</v>
        <stp/>
        <stp>*OBSTE</stp>
        <stp>IBM 2022-01-28</stp>
        <stp>0</stp>
        <tr r="Q36" s="24"/>
      </tp>
      <tp>
        <v>134</v>
        <stp/>
        <stp>*OBSTE</stp>
        <stp>IBM 2022-01-28</stp>
        <stp>1</stp>
        <tr r="Q37" s="24"/>
      </tp>
    </main>
    <main first="fsxl">
      <tp>
        <v>65955</v>
        <stp/>
        <stp>WBS 1!-ICE</stp>
        <stp>OpenInt</stp>
        <tr r="N8" s="20"/>
      </tp>
      <tp>
        <v>5.0000000000000001E-3</v>
        <stp/>
        <stp>UHO 7!:8!-ICE</stp>
        <stp>Low</stp>
        <tr r="K13" s="20"/>
      </tp>
      <tp>
        <v>75746</v>
        <stp/>
        <stp>GAS 3!-ICE</stp>
        <stp>OpenInt</stp>
        <tr r="N9" s="20"/>
      </tp>
    </main>
    <main first="fsxl">
      <tp>
        <v>89.34</v>
        <stp/>
        <stp>*H</stp>
        <stp>BRN 1!-ICE</stp>
        <stp>Last</stp>
        <stp>D</stp>
        <stp/>
        <stp>0</stp>
        <tr r="M8" s="19"/>
      </tp>
      <tp>
        <v>89.88</v>
        <stp/>
        <stp>*H</stp>
        <stp>BRN 1!-ICE</stp>
        <stp>Last</stp>
        <stp>M</stp>
        <stp/>
        <stp>0</stp>
        <tr r="M23" s="19"/>
      </tp>
      <tp>
        <v>89.88</v>
        <stp/>
        <stp>*H</stp>
        <stp>BRN 1!-ICE</stp>
        <stp>Last</stp>
        <stp>W</stp>
        <stp/>
        <stp>0</stp>
        <tr r="M18" s="19"/>
      </tp>
      <tp>
        <v>89.96</v>
        <stp/>
        <stp>*H</stp>
        <stp>BRN 1!-ICE</stp>
        <stp>Last</stp>
        <stp>D</stp>
        <stp/>
        <stp>1</stp>
        <tr r="N8" s="19"/>
      </tp>
      <tp>
        <v>77.78</v>
        <stp/>
        <stp>*H</stp>
        <stp>BRN 1!-ICE</stp>
        <stp>Last</stp>
        <stp>M</stp>
        <stp/>
        <stp>1</stp>
        <tr r="N23" s="19"/>
      </tp>
      <tp>
        <v>87.89</v>
        <stp/>
        <stp>*H</stp>
        <stp>BRN 1!-ICE</stp>
        <stp>Last</stp>
        <stp>W</stp>
        <stp/>
        <stp>1</stp>
        <tr r="N18" s="19"/>
      </tp>
      <tp>
        <v>88.2</v>
        <stp/>
        <stp>*H</stp>
        <stp>BRN 1!-ICE</stp>
        <stp>Last</stp>
        <stp>D</stp>
        <stp/>
        <stp>2</stp>
        <tr r="O8" s="19"/>
      </tp>
      <tp>
        <v>68.88</v>
        <stp/>
        <stp>*H</stp>
        <stp>BRN 1!-ICE</stp>
        <stp>Last</stp>
        <stp>M</stp>
        <stp/>
        <stp>2</stp>
        <tr r="O23" s="19"/>
      </tp>
      <tp>
        <v>86.06</v>
        <stp/>
        <stp>*H</stp>
        <stp>BRN 1!-ICE</stp>
        <stp>Last</stp>
        <stp>W</stp>
        <stp/>
        <stp>2</stp>
        <tr r="O18" s="19"/>
      </tp>
    </main>
    <main first="ice.xl">
      <tp>
        <v>132.52000000000001</v>
        <stp/>
        <stp>*Q</stp>
        <stp>IBM</stp>
        <stp>Last</stp>
        <tr r="H28" s="24"/>
      </tp>
      <tp>
        <v>4.05</v>
        <stp/>
        <stp>*Q</stp>
        <stp>O:IBM 22M137.00D28</stp>
        <stp>Last</stp>
        <tr r="W40" s="24"/>
      </tp>
      <tp>
        <v>3.4</v>
        <stp/>
        <stp>*Q</stp>
        <stp>O:IBM 22M136.00D28</stp>
        <stp>Last</stp>
        <tr r="W39" s="24"/>
      </tp>
      <tp>
        <v>2.34</v>
        <stp/>
        <stp>*Q</stp>
        <stp>O:IBM 22M135.00D28</stp>
        <stp>Last</stp>
        <tr r="W38" s="24"/>
      </tp>
      <tp>
        <v>1.7</v>
        <stp/>
        <stp>*Q</stp>
        <stp>O:IBM 22M134.00D28</stp>
        <stp>Last</stp>
        <tr r="W37" s="24"/>
      </tp>
      <tp>
        <v>1.35</v>
        <stp/>
        <stp>*Q</stp>
        <stp>O:IBM 22M133.00D28</stp>
        <stp>Last</stp>
        <tr r="W36" s="24"/>
      </tp>
      <tp>
        <v>0.86</v>
        <stp/>
        <stp>*Q</stp>
        <stp>O:IBM 22M132.00D28</stp>
        <stp>Last</stp>
        <tr r="W35" s="24"/>
      </tp>
      <tp>
        <v>0.48</v>
        <stp/>
        <stp>*Q</stp>
        <stp>O:IBM 22M131.00D28</stp>
        <stp>Last</stp>
        <tr r="W34" s="24"/>
      </tp>
      <tp>
        <v>0.36</v>
        <stp/>
        <stp>*Q</stp>
        <stp>O:IBM 22M130.00D28</stp>
        <stp>Last</stp>
        <tr r="W33" s="24"/>
      </tp>
      <tp>
        <v>0.25</v>
        <stp/>
        <stp>*Q</stp>
        <stp>O:IBM 22M129.00D28</stp>
        <stp>Last</stp>
        <tr r="W32" s="24"/>
      </tp>
      <tp>
        <v>0.14000000000000001</v>
        <stp/>
        <stp>*Q</stp>
        <stp>O:IBM 22M128.00D28</stp>
        <stp>Last</stp>
        <tr r="W31" s="24"/>
      </tp>
    </main>
    <main first="fsxl">
      <tp t="s">
        <v>SPREAD-LIGHT CRUDE OIL-WTI</v>
        <stp/>
        <stp>WBS 1!:2!-ICE</stp>
        <stp>Description</stp>
        <tr r="H12" s="20"/>
      </tp>
    </main>
    <main first="ice.xl">
      <tp>
        <v>44588.634247685186</v>
        <stp/>
        <stp>*Q</stp>
        <stp>O:IBM 22A129.00D28</stp>
        <stp>Time</stp>
        <tr r="N32" s="24"/>
      </tp>
      <tp>
        <v>44588.634247685186</v>
        <stp/>
        <stp>*Q</stp>
        <stp>O:IBM 22A128.00D28</stp>
        <stp>Time</stp>
        <tr r="N31" s="24"/>
      </tp>
      <tp>
        <v>44588.634259259263</v>
        <stp/>
        <stp>*Q</stp>
        <stp>O:IBM 22A137.00D28</stp>
        <stp>Time</stp>
        <tr r="N40" s="24"/>
      </tp>
      <tp>
        <v>44588.634247685186</v>
        <stp/>
        <stp>*Q</stp>
        <stp>O:IBM 22A136.00D28</stp>
        <stp>Time</stp>
        <tr r="N39" s="24"/>
      </tp>
      <tp>
        <v>44588.634247685186</v>
        <stp/>
        <stp>*Q</stp>
        <stp>O:IBM 22A135.00D28</stp>
        <stp>Time</stp>
        <tr r="N38" s="24"/>
      </tp>
      <tp>
        <v>44588.634247685186</v>
        <stp/>
        <stp>*Q</stp>
        <stp>O:IBM 22A134.00D28</stp>
        <stp>Time</stp>
        <tr r="N37" s="24"/>
      </tp>
      <tp>
        <v>44588.634247685186</v>
        <stp/>
        <stp>*Q</stp>
        <stp>O:IBM 22A133.00D28</stp>
        <stp>Time</stp>
        <tr r="N36" s="24"/>
      </tp>
      <tp>
        <v>44588.634247685186</v>
        <stp/>
        <stp>*Q</stp>
        <stp>O:IBM 22A132.00D28</stp>
        <stp>Time</stp>
        <tr r="N35" s="24"/>
      </tp>
      <tp>
        <v>44588.634247685186</v>
        <stp/>
        <stp>*Q</stp>
        <stp>O:IBM 22A131.00D28</stp>
        <stp>Time</stp>
        <tr r="N34" s="24"/>
      </tp>
      <tp>
        <v>44588.634247685186</v>
        <stp/>
        <stp>*Q</stp>
        <stp>O:IBM 22A130.00D28</stp>
        <stp>Time</stp>
        <tr r="N33" s="24"/>
      </tp>
      <tp>
        <v>2.2999999999999998</v>
        <stp/>
        <stp>*Q</stp>
        <stp>O:IBM 22A133.00D28</stp>
        <stp>High</stp>
        <tr r="J36" s="24"/>
      </tp>
      <tp>
        <v>2.93</v>
        <stp/>
        <stp>*Q</stp>
        <stp>O:IBM 22A132.00D28</stp>
        <stp>High</stp>
        <tr r="J35" s="24"/>
      </tp>
      <tp>
        <v>3.9</v>
        <stp/>
        <stp>*Q</stp>
        <stp>O:IBM 22A131.00D28</stp>
        <stp>High</stp>
        <tr r="J34" s="24"/>
      </tp>
      <tp>
        <v>4.8</v>
        <stp/>
        <stp>*Q</stp>
        <stp>O:IBM 22A130.00D28</stp>
        <stp>High</stp>
        <tr r="J33" s="24"/>
      </tp>
      <tp>
        <v>0.5</v>
        <stp/>
        <stp>*Q</stp>
        <stp>O:IBM 22A137.00D28</stp>
        <stp>High</stp>
        <tr r="J40" s="24"/>
      </tp>
      <tp>
        <v>0.9</v>
        <stp/>
        <stp>*Q</stp>
        <stp>O:IBM 22A136.00D28</stp>
        <stp>High</stp>
        <tr r="J39" s="24"/>
      </tp>
      <tp>
        <v>1.18</v>
        <stp/>
        <stp>*Q</stp>
        <stp>O:IBM 22A135.00D28</stp>
        <stp>High</stp>
        <tr r="J38" s="24"/>
      </tp>
      <tp>
        <v>1.7</v>
        <stp/>
        <stp>*Q</stp>
        <stp>O:IBM 22A134.00D28</stp>
        <stp>High</stp>
        <tr r="J37" s="24"/>
      </tp>
      <tp>
        <v>5.58</v>
        <stp/>
        <stp>*Q</stp>
        <stp>O:IBM 22A129.00D28</stp>
        <stp>High</stp>
        <tr r="J32" s="24"/>
      </tp>
      <tp>
        <v>6.6</v>
        <stp/>
        <stp>*Q</stp>
        <stp>O:IBM 22A128.00D28</stp>
        <stp>High</stp>
        <tr r="J31" s="24"/>
      </tp>
    </main>
    <main first="fsxl">
      <tp>
        <v>1.9205870967177894</v>
        <stp/>
        <stp>BRN 1!-ICE[EUR/GAL]</stp>
        <stp>Ask</stp>
        <tr r="J24" s="19"/>
      </tp>
      <tp>
        <v>4.0633333333333335</v>
        <stp/>
        <stp>=('NG 1!'+'NG 2!'+'NG 3!') /3</stp>
        <stp>Low</stp>
        <tr r="K17" s="20"/>
      </tp>
      <tp>
        <v>801.25</v>
        <stp/>
        <stp>*H</stp>
        <stp>GAS 1!-ICE</stp>
        <stp>Last</stp>
        <stp>I60</stp>
        <stp>44588.625</stp>
        <tr r="R14" s="19"/>
      </tp>
      <tp>
        <v>-0.05</v>
        <stp/>
        <stp>BRN 22J-ICE</stp>
        <stp>Change</stp>
        <tr r="I10" s="24"/>
      </tp>
    </main>
    <main first="fsxl">
      <tp>
        <v>1.9203734607782212</v>
        <stp/>
        <stp>BRN 1!-ICE[EUR/GAL]</stp>
        <stp>Bid</stp>
        <tr r="I24" s="19"/>
      </tp>
    </main>
    <main first="ice.xl">
      <tp>
        <v>86.22</v>
        <stp/>
        <stp>*H</stp>
        <stp>WBS 1!-ICE</stp>
        <stp>Low</stp>
        <stp>D</stp>
        <stp>44588.25</stp>
        <tr r="K19" s="21"/>
      </tp>
      <tp>
        <v>83.01</v>
        <stp/>
        <stp>*H</stp>
        <stp>WBS 1!-ICE</stp>
        <stp>Low</stp>
        <stp>D</stp>
        <stp>44586.25</stp>
        <tr r="K21" s="21"/>
      </tp>
      <tp>
        <v>85.02</v>
        <stp/>
        <stp>*H</stp>
        <stp>WBS 1!-ICE</stp>
        <stp>Low</stp>
        <stp>D</stp>
        <stp>44587.25</stp>
        <tr r="K20" s="21"/>
      </tp>
      <tp>
        <v>81.93</v>
        <stp/>
        <stp>*H</stp>
        <stp>WBS 1!-ICE</stp>
        <stp>Low</stp>
        <stp>D</stp>
        <stp>44585.25</stp>
        <tr r="K22" s="21"/>
      </tp>
      <tp>
        <v>82.81</v>
        <stp/>
        <stp>*H</stp>
        <stp>WBS 1!-ICE</stp>
        <stp>Low</stp>
        <stp>D</stp>
        <stp>44582.25</stp>
        <tr r="K23" s="21"/>
      </tp>
      <tp>
        <v>85.01</v>
        <stp/>
        <stp>*H</stp>
        <stp>WBS 1!-ICE</stp>
        <stp>Low</stp>
        <stp>D</stp>
        <stp>44580.25</stp>
        <tr r="K25" s="21"/>
      </tp>
      <tp>
        <v>84.21</v>
        <stp/>
        <stp>*H</stp>
        <stp>WBS 1!-ICE</stp>
        <stp>Low</stp>
        <stp>D</stp>
        <stp>44581.25</stp>
        <tr r="K24" s="21"/>
      </tp>
      <tp>
        <v>75.17</v>
        <stp/>
        <stp>*H</stp>
        <stp>WBS 1!-ICE</stp>
        <stp>Low</stp>
        <stp>D</stp>
        <stp>44558.25</stp>
        <tr r="K41" s="21"/>
      </tp>
      <tp>
        <v>75.069999999999993</v>
        <stp/>
        <stp>*H</stp>
        <stp>WBS 1!-ICE</stp>
        <stp>Low</stp>
        <stp>D</stp>
        <stp>44559.25</stp>
        <tr r="K40" s="21"/>
      </tp>
      <tp>
        <v>72.28</v>
        <stp/>
        <stp>*H</stp>
        <stp>WBS 1!-ICE</stp>
        <stp>Low</stp>
        <stp>D</stp>
        <stp>44557.25</stp>
        <tr r="K42" s="21"/>
      </tp>
      <tp>
        <v>72.25</v>
        <stp/>
        <stp>*H</stp>
        <stp>WBS 1!-ICE</stp>
        <stp>Low</stp>
        <stp>D</stp>
        <stp>44554.25</stp>
        <tr r="K43" s="21"/>
      </tp>
      <tp>
        <v>70.510000000000005</v>
        <stp/>
        <stp>*H</stp>
        <stp>WBS 1!-ICE</stp>
        <stp>Low</stp>
        <stp>D</stp>
        <stp>44552.25</stp>
        <tr r="K45" s="21"/>
      </tp>
      <tp>
        <v>71.91</v>
        <stp/>
        <stp>*H</stp>
        <stp>WBS 1!-ICE</stp>
        <stp>Low</stp>
        <stp>D</stp>
        <stp>44553.25</stp>
        <tr r="K44" s="21"/>
      </tp>
      <tp>
        <v>65.97</v>
        <stp/>
        <stp>*H</stp>
        <stp>WBS 1!-ICE</stp>
        <stp>Low</stp>
        <stp>D</stp>
        <stp>44550.25</stp>
        <tr r="K47" s="21"/>
      </tp>
      <tp>
        <v>68.319999999999993</v>
        <stp/>
        <stp>*H</stp>
        <stp>WBS 1!-ICE</stp>
        <stp>Low</stp>
        <stp>D</stp>
        <stp>44551.25</stp>
        <tr r="K46" s="21"/>
      </tp>
      <tp>
        <v>70.59</v>
        <stp/>
        <stp>*H</stp>
        <stp>WBS 1!-ICE</stp>
        <stp>Low</stp>
        <stp>D</stp>
        <stp>44546.25</stp>
        <tr r="K49" s="21"/>
      </tp>
      <tp>
        <v>69.400000000000006</v>
        <stp/>
        <stp>*H</stp>
        <stp>WBS 1!-ICE</stp>
        <stp>Low</stp>
        <stp>D</stp>
        <stp>44547.25</stp>
        <tr r="K48" s="21"/>
      </tp>
      <tp>
        <v>69.14</v>
        <stp/>
        <stp>*H</stp>
        <stp>WBS 1!-ICE</stp>
        <stp>Low</stp>
        <stp>D</stp>
        <stp>44544.25</stp>
        <tr r="K51" s="21"/>
      </tp>
      <tp>
        <v>69.040000000000006</v>
        <stp/>
        <stp>*H</stp>
        <stp>WBS 1!-ICE</stp>
        <stp>Low</stp>
        <stp>D</stp>
        <stp>44545.25</stp>
        <tr r="K50" s="21"/>
      </tp>
      <tp>
        <v>70.36</v>
        <stp/>
        <stp>*H</stp>
        <stp>WBS 1!-ICE</stp>
        <stp>Low</stp>
        <stp>D</stp>
        <stp>44543.25</stp>
        <tr r="K52" s="21"/>
      </tp>
      <tp>
        <v>69.98</v>
        <stp/>
        <stp>*H</stp>
        <stp>WBS 1!-ICE</stp>
        <stp>Low</stp>
        <stp>D</stp>
        <stp>44540.25</stp>
        <tr r="K53" s="21"/>
      </tp>
      <tp>
        <v>82.96</v>
        <stp/>
        <stp>*H</stp>
        <stp>WBS 1!-ICE</stp>
        <stp>Low</stp>
        <stp>D</stp>
        <stp>44578.25</stp>
        <tr r="K27" s="21"/>
      </tp>
      <tp>
        <v>83.67</v>
        <stp/>
        <stp>*H</stp>
        <stp>WBS 1!-ICE</stp>
        <stp>Low</stp>
        <stp>D</stp>
        <stp>44579.25</stp>
        <tr r="K26" s="21"/>
      </tp>
      <tp>
        <v>80.95</v>
        <stp/>
        <stp>*H</stp>
        <stp>WBS 1!-ICE</stp>
        <stp>Low</stp>
        <stp>D</stp>
        <stp>44574.25</stp>
        <tr r="K29" s="21"/>
      </tp>
      <tp>
        <v>81.180000000000007</v>
        <stp/>
        <stp>*H</stp>
        <stp>WBS 1!-ICE</stp>
        <stp>Low</stp>
        <stp>D</stp>
        <stp>44575.25</stp>
        <tr r="K28" s="21"/>
      </tp>
      <tp>
        <v>77.94</v>
        <stp/>
        <stp>*H</stp>
        <stp>WBS 1!-ICE</stp>
        <stp>Low</stp>
        <stp>D</stp>
        <stp>44572.25</stp>
        <tr r="K31" s="21"/>
      </tp>
      <tp>
        <v>80.58</v>
        <stp/>
        <stp>*H</stp>
        <stp>WBS 1!-ICE</stp>
        <stp>Low</stp>
        <stp>D</stp>
        <stp>44573.25</stp>
        <tr r="K30" s="21"/>
      </tp>
      <tp>
        <v>77.42</v>
        <stp/>
        <stp>*H</stp>
        <stp>WBS 1!-ICE</stp>
        <stp>Low</stp>
        <stp>D</stp>
        <stp>44571.25</stp>
        <tr r="K32" s="21"/>
      </tp>
      <tp>
        <v>78.099999999999994</v>
        <stp/>
        <stp>*H</stp>
        <stp>WBS 1!-ICE</stp>
        <stp>Low</stp>
        <stp>D</stp>
        <stp>44568.25</stp>
        <tr r="K33" s="21"/>
      </tp>
      <tp>
        <v>76.27</v>
        <stp/>
        <stp>*H</stp>
        <stp>WBS 1!-ICE</stp>
        <stp>Low</stp>
        <stp>D</stp>
        <stp>44566.25</stp>
        <tr r="K35" s="21"/>
      </tp>
      <tp>
        <v>76.38</v>
        <stp/>
        <stp>*H</stp>
        <stp>WBS 1!-ICE</stp>
        <stp>Low</stp>
        <stp>D</stp>
        <stp>44567.25</stp>
        <tr r="K34" s="21"/>
      </tp>
      <tp>
        <v>74.099999999999994</v>
        <stp/>
        <stp>*H</stp>
        <stp>WBS 1!-ICE</stp>
        <stp>Low</stp>
        <stp>D</stp>
        <stp>44564.25</stp>
        <tr r="K37" s="21"/>
      </tp>
      <tp>
        <v>75.55</v>
        <stp/>
        <stp>*H</stp>
        <stp>WBS 1!-ICE</stp>
        <stp>Low</stp>
        <stp>D</stp>
        <stp>44565.25</stp>
        <tr r="K36" s="21"/>
      </tp>
      <tp>
        <v>75.48</v>
        <stp/>
        <stp>*H</stp>
        <stp>WBS 1!-ICE</stp>
        <stp>Low</stp>
        <stp>D</stp>
        <stp>44560.25</stp>
        <tr r="K39" s="21"/>
      </tp>
      <tp>
        <v>74.64</v>
        <stp/>
        <stp>*H</stp>
        <stp>WBS 1!-ICE</stp>
        <stp>Low</stp>
        <stp>D</stp>
        <stp>44561.25</stp>
        <tr r="K38" s="21"/>
      </tp>
      <tp>
        <v>73.739999999999995</v>
        <stp/>
        <stp>*H</stp>
        <stp>WBS 1!-ICE</stp>
        <stp>Low</stp>
        <stp>D</stp>
        <stp>44519.25</stp>
        <tr r="K68" s="21"/>
      </tp>
      <tp>
        <v>70.7</v>
        <stp/>
        <stp>*H</stp>
        <stp>WBS 1!-ICE</stp>
        <stp>Low</stp>
        <stp>D</stp>
        <stp>44538.25</stp>
        <tr r="K55" s="21"/>
      </tp>
      <tp>
        <v>70.09</v>
        <stp/>
        <stp>*H</stp>
        <stp>WBS 1!-ICE</stp>
        <stp>Low</stp>
        <stp>D</stp>
        <stp>44539.25</stp>
        <tr r="K54" s="21"/>
      </tp>
      <tp>
        <v>66.8</v>
        <stp/>
        <stp>*H</stp>
        <stp>WBS 1!-ICE</stp>
        <stp>Low</stp>
        <stp>D</stp>
        <stp>44536.25</stp>
        <tr r="K57" s="21"/>
      </tp>
      <tp>
        <v>69.47</v>
        <stp/>
        <stp>*H</stp>
        <stp>WBS 1!-ICE</stp>
        <stp>Low</stp>
        <stp>D</stp>
        <stp>44537.25</stp>
        <tr r="K56" s="21"/>
      </tp>
      <tp>
        <v>62.09</v>
        <stp/>
        <stp>*H</stp>
        <stp>WBS 1!-ICE</stp>
        <stp>Low</stp>
        <stp>D</stp>
        <stp>44532.25</stp>
        <tr r="K59" s="21"/>
      </tp>
      <tp>
        <v>65.33</v>
        <stp/>
        <stp>*H</stp>
        <stp>WBS 1!-ICE</stp>
        <stp>Low</stp>
        <stp>D</stp>
        <stp>44533.25</stp>
        <tr r="K58" s="21"/>
      </tp>
      <tp>
        <v>64.02</v>
        <stp/>
        <stp>*H</stp>
        <stp>WBS 1!-ICE</stp>
        <stp>Low</stp>
        <stp>D</stp>
        <stp>44530.25</stp>
        <tr r="K61" s="21"/>
      </tp>
      <tp>
        <v>64.900000000000006</v>
        <stp/>
        <stp>*H</stp>
        <stp>WBS 1!-ICE</stp>
        <stp>Low</stp>
        <stp>D</stp>
        <stp>44531.25</stp>
        <tr r="K60" s="21"/>
      </tp>
      <tp>
        <v>68.48</v>
        <stp/>
        <stp>*H</stp>
        <stp>WBS 1!-ICE</stp>
        <stp>Low</stp>
        <stp>D</stp>
        <stp>44529.25</stp>
        <tr r="K62" s="21"/>
      </tp>
      <tp>
        <v>67</v>
        <stp/>
        <stp>*H</stp>
        <stp>WBS 1!-ICE</stp>
        <stp>Low</stp>
        <stp>D</stp>
        <stp>44526.25</stp>
        <tr r="K63" s="21"/>
      </tp>
      <tp>
        <v>76.77</v>
        <stp/>
        <stp>*H</stp>
        <stp>WBS 1!-ICE</stp>
        <stp>Low</stp>
        <stp>D</stp>
        <stp>44524.25</stp>
        <tr r="K65" s="21"/>
      </tp>
      <tp>
        <v>76.59</v>
        <stp/>
        <stp>*H</stp>
        <stp>WBS 1!-ICE</stp>
        <stp>Low</stp>
        <stp>D</stp>
        <stp>44525.25</stp>
        <tr r="K64" s="21"/>
      </tp>
      <tp>
        <v>73.680000000000007</v>
        <stp/>
        <stp>*H</stp>
        <stp>WBS 1!-ICE</stp>
        <stp>Low</stp>
        <stp>D</stp>
        <stp>44522.25</stp>
        <tr r="K67" s="21"/>
      </tp>
      <tp>
        <v>74.25</v>
        <stp/>
        <stp>*H</stp>
        <stp>WBS 1!-ICE</stp>
        <stp>Low</stp>
        <stp>D</stp>
        <stp>44523.25</stp>
        <tr r="K66" s="21"/>
      </tp>
    </main>
    <main first="fsxl">
      <tp t="s">
        <v/>
        <stp/>
        <stp>='WBS 1!-ICE' - 'BRN 1!-ICE'</stp>
        <stp>Volume</stp>
        <tr r="M14" s="20"/>
      </tp>
      <tp t="s">
        <v/>
        <stp/>
        <stp xml:space="preserve">WBS 18F:BRN18F-ICE </stp>
        <stp>OpenInt</stp>
        <tr r="N11" s="20"/>
      </tp>
      <tp>
        <v>1.9201598248386529</v>
        <stp/>
        <stp>BRN 1!-ICE[EUR/GAL]</stp>
        <stp>Last</stp>
        <tr r="H24" s="19"/>
      </tp>
      <tp>
        <v>0.84833333333333361</v>
        <stp/>
        <stp>=('NG 1!'+'NG 2!'+'NG 3!') /3</stp>
        <stp>Change</stp>
        <tr r="O17" s="20"/>
      </tp>
      <tp t="s">
        <v/>
        <stp/>
        <stp xml:space="preserve">WBS 18F:BRN18F-ICE </stp>
        <stp>Last</stp>
        <tr r="L11" s="20"/>
      </tp>
    </main>
    <main first="fsxl">
      <tp>
        <v>771.75</v>
        <stp/>
        <stp>GAS 3!-ICE</stp>
        <stp>High</stp>
        <tr r="J9" s="20"/>
      </tp>
    </main>
    <main first="fsxl">
      <tp>
        <v>792</v>
        <stp/>
        <stp>*H</stp>
        <stp>GAS 1!-ICE</stp>
        <stp>Last</stp>
        <stp>I60</stp>
        <stp>44588.5416666667</stp>
        <tr r="T14" s="19"/>
      </tp>
      <tp>
        <v>798.25</v>
        <stp/>
        <stp>*H</stp>
        <stp>GAS 1!-ICE</stp>
        <stp>Last</stp>
        <stp>I60</stp>
        <stp>44588.5833333333</stp>
        <tr r="S14" s="19"/>
      </tp>
    </main>
    <main first="fsxl">
      <tp>
        <v>89.7</v>
        <stp/>
        <stp>%BRN 1!-ICE</stp>
        <stp>Open</stp>
        <tr r="I7" s="20"/>
      </tp>
      <tp>
        <v>-2.5300000000000011</v>
        <stp/>
        <stp>='WBS 1!-ICE' - 'BRN 1!-ICE'</stp>
        <stp>Open</stp>
        <tr r="I14" s="20"/>
      </tp>
    </main>
    <main first="fsxl">
      <tp>
        <v>89.88</v>
        <stp/>
        <stp>BRN 1!-ICE</stp>
        <stp>Last</stp>
        <tr r="H13" s="19"/>
        <tr r="H8" s="19"/>
        <tr r="H18" s="19"/>
        <tr r="H23" s="19"/>
      </tp>
    </main>
    <main first="ice.xl">
      <tp t="s">
        <v>O:IBM 22A129.00D28</v>
        <stp/>
        <stp>*OBSYE</stp>
        <stp>IBM 2022-01-28</stp>
        <stp>C</stp>
        <stp>129</stp>
        <tr r="G32" s="24"/>
      </tp>
      <tp t="s">
        <v>O:IBM 22A128.00D28</v>
        <stp/>
        <stp>*OBSYE</stp>
        <stp>IBM 2022-01-28</stp>
        <stp>C</stp>
        <stp>128</stp>
        <tr r="G31" s="24"/>
      </tp>
      <tp t="s">
        <v>O:IBM 22M128.00D28</v>
        <stp/>
        <stp>*OBSYE</stp>
        <stp>IBM 2022-01-28</stp>
        <stp>P</stp>
        <stp>128</stp>
        <tr r="R31" s="24"/>
      </tp>
      <tp t="s">
        <v>O:IBM 22M129.00D28</v>
        <stp/>
        <stp>*OBSYE</stp>
        <stp>IBM 2022-01-28</stp>
        <stp>P</stp>
        <stp>129</stp>
        <tr r="R32" s="24"/>
      </tp>
      <tp t="s">
        <v>O:IBM 22A135.00D28</v>
        <stp/>
        <stp>*OBSYE</stp>
        <stp>IBM 2022-01-28</stp>
        <stp>C</stp>
        <stp>135</stp>
        <tr r="G38" s="24"/>
      </tp>
      <tp t="s">
        <v>O:IBM 22A134.00D28</v>
        <stp/>
        <stp>*OBSYE</stp>
        <stp>IBM 2022-01-28</stp>
        <stp>C</stp>
        <stp>134</stp>
        <tr r="G37" s="24"/>
      </tp>
      <tp t="s">
        <v>O:IBM 22A137.00D28</v>
        <stp/>
        <stp>*OBSYE</stp>
        <stp>IBM 2022-01-28</stp>
        <stp>C</stp>
        <stp>137</stp>
        <tr r="G40" s="24"/>
      </tp>
      <tp t="s">
        <v>O:IBM 22A136.00D28</v>
        <stp/>
        <stp>*OBSYE</stp>
        <stp>IBM 2022-01-28</stp>
        <stp>C</stp>
        <stp>136</stp>
        <tr r="G39" s="24"/>
      </tp>
      <tp t="s">
        <v>O:IBM 22A131.00D28</v>
        <stp/>
        <stp>*OBSYE</stp>
        <stp>IBM 2022-01-28</stp>
        <stp>C</stp>
        <stp>131</stp>
        <tr r="G34" s="24"/>
      </tp>
      <tp t="s">
        <v>O:IBM 22A130.00D28</v>
        <stp/>
        <stp>*OBSYE</stp>
        <stp>IBM 2022-01-28</stp>
        <stp>C</stp>
        <stp>130</stp>
        <tr r="G33" s="24"/>
      </tp>
      <tp t="s">
        <v>O:IBM 22A133.00D28</v>
        <stp/>
        <stp>*OBSYE</stp>
        <stp>IBM 2022-01-28</stp>
        <stp>C</stp>
        <stp>133</stp>
        <tr r="G36" s="24"/>
      </tp>
      <tp t="s">
        <v>O:IBM 22A132.00D28</v>
        <stp/>
        <stp>*OBSYE</stp>
        <stp>IBM 2022-01-28</stp>
        <stp>C</stp>
        <stp>132</stp>
        <tr r="G35" s="24"/>
      </tp>
      <tp t="s">
        <v>O:IBM 22M136.00D28</v>
        <stp/>
        <stp>*OBSYE</stp>
        <stp>IBM 2022-01-28</stp>
        <stp>P</stp>
        <stp>136</stp>
        <tr r="R39" s="24"/>
      </tp>
      <tp t="s">
        <v>O:IBM 22M137.00D28</v>
        <stp/>
        <stp>*OBSYE</stp>
        <stp>IBM 2022-01-28</stp>
        <stp>P</stp>
        <stp>137</stp>
        <tr r="R40" s="24"/>
      </tp>
      <tp t="s">
        <v>O:IBM 22M134.00D28</v>
        <stp/>
        <stp>*OBSYE</stp>
        <stp>IBM 2022-01-28</stp>
        <stp>P</stp>
        <stp>134</stp>
        <tr r="R37" s="24"/>
      </tp>
      <tp t="s">
        <v>O:IBM 22M135.00D28</v>
        <stp/>
        <stp>*OBSYE</stp>
        <stp>IBM 2022-01-28</stp>
        <stp>P</stp>
        <stp>135</stp>
        <tr r="R38" s="24"/>
      </tp>
      <tp t="s">
        <v>O:IBM 22M132.00D28</v>
        <stp/>
        <stp>*OBSYE</stp>
        <stp>IBM 2022-01-28</stp>
        <stp>P</stp>
        <stp>132</stp>
        <tr r="R35" s="24"/>
      </tp>
      <tp t="s">
        <v>O:IBM 22M133.00D28</v>
        <stp/>
        <stp>*OBSYE</stp>
        <stp>IBM 2022-01-28</stp>
        <stp>P</stp>
        <stp>133</stp>
        <tr r="R36" s="24"/>
      </tp>
      <tp t="s">
        <v>O:IBM 22M130.00D28</v>
        <stp/>
        <stp>*OBSYE</stp>
        <stp>IBM 2022-01-28</stp>
        <stp>P</stp>
        <stp>130</stp>
        <tr r="R33" s="24"/>
      </tp>
      <tp t="s">
        <v>O:IBM 22M131.00D28</v>
        <stp/>
        <stp>*OBSYE</stp>
        <stp>IBM 2022-01-28</stp>
        <stp>P</stp>
        <stp>131</stp>
        <tr r="R34" s="24"/>
      </tp>
    </main>
    <main first="fsxl">
      <tp>
        <v>88.69</v>
        <stp/>
        <stp>BRN 22J-ICE</stp>
        <stp>Last</stp>
        <tr r="H10" s="24"/>
      </tp>
      <tp t="s">
        <v/>
        <stp/>
        <stp xml:space="preserve">WBS 18F:BRN18F-ICE </stp>
        <stp>High</stp>
        <tr r="J11" s="20"/>
      </tp>
    </main>
    <main first="fsxl">
      <tp>
        <v>801.25</v>
        <stp/>
        <stp>GAS 1!-ICE</stp>
        <stp>Last</stp>
        <tr r="H9" s="19"/>
      </tp>
    </main>
    <main first="fsxl">
      <tp>
        <v>87.17</v>
        <stp/>
        <stp>WBS 1!-ICE</stp>
        <stp>Open</stp>
        <tr r="I8" s="20"/>
      </tp>
    </main>
    <main first="fsxl">
      <tp>
        <v>770.5</v>
        <stp/>
        <stp>GAS 3!-ICE</stp>
        <stp>Last</stp>
        <tr r="L9" s="20"/>
      </tp>
    </main>
    <main first="fsxl">
      <tp t="s">
        <v>BRN 22J-ICE</v>
        <stp/>
        <stp>*OBSY</stp>
        <stp>BRN-ICE</stp>
        <tr r="G10" s="24"/>
      </tp>
    </main>
    <main first="ice.xl">
      <tp>
        <v>1.58</v>
        <stp/>
        <stp>*Q</stp>
        <stp>O:IBM 22A132.00D28</stp>
        <stp>Ask</stp>
        <tr r="I35" s="24"/>
      </tp>
      <tp>
        <v>0.93</v>
        <stp/>
        <stp>*Q</stp>
        <stp>O:IBM 22M132.00D28</stp>
        <stp>Ask</stp>
        <tr r="T35" s="24"/>
      </tp>
      <tp>
        <v>0.5</v>
        <stp/>
        <stp>*Q</stp>
        <stp>O:IBM 22M131.00D28</stp>
        <stp>Bid</stp>
        <tr r="S34" s="24"/>
      </tp>
      <tp>
        <v>2.02</v>
        <stp/>
        <stp>*Q</stp>
        <stp>O:IBM 22A131.00D28</stp>
        <stp>Bid</stp>
        <tr r="H34" s="24"/>
      </tp>
    </main>
    <main first="fsxl">
      <tp t="s">
        <v/>
        <stp/>
        <stp>='WBS 1!-ICE' - 'BRN 1!-ICE'</stp>
        <stp>OpenInt</stp>
        <tr r="N14" s="20"/>
      </tp>
    </main>
    <main first="ice.xl">
      <tp>
        <v>0.94</v>
        <stp/>
        <stp>*Q</stp>
        <stp>O:IBM 22A133.00D28</stp>
        <stp>Ask</stp>
        <tr r="I36" s="24"/>
      </tp>
      <tp>
        <v>1.49</v>
        <stp/>
        <stp>*Q</stp>
        <stp>O:IBM 22M133.00D28</stp>
        <stp>Ask</stp>
        <tr r="T36" s="24"/>
      </tp>
      <tp>
        <v>0.31</v>
        <stp/>
        <stp>*Q</stp>
        <stp>O:IBM 22M130.00D28</stp>
        <stp>Bid</stp>
        <tr r="S33" s="24"/>
      </tp>
      <tp>
        <v>2.66</v>
        <stp/>
        <stp>*Q</stp>
        <stp>O:IBM 22A130.00D28</stp>
        <stp>Bid</stp>
        <tr r="H33" s="24"/>
      </tp>
    </main>
    <main first="fsxl">
      <tp>
        <v>91.04</v>
        <stp/>
        <stp>%BRN 1!-ICE</stp>
        <stp>High</stp>
        <tr r="J7" s="20"/>
      </tp>
    </main>
    <main first="fsxl">
      <tp>
        <v>-2.4900000000000091</v>
        <stp/>
        <stp>='WBS 1!-ICE' - 'BRN 1!-ICE'</stp>
        <stp>High</stp>
        <tr r="J14" s="20"/>
      </tp>
    </main>
    <main first="ice.xl">
      <tp>
        <v>3.05</v>
        <stp/>
        <stp>*Q</stp>
        <stp>O:IBM 22A130.00D28</stp>
        <stp>Ask</stp>
        <tr r="I33" s="24"/>
      </tp>
      <tp>
        <v>0.38</v>
        <stp/>
        <stp>*Q</stp>
        <stp>O:IBM 22M130.00D28</stp>
        <stp>Ask</stp>
        <tr r="T33" s="24"/>
      </tp>
      <tp>
        <v>1.24</v>
        <stp/>
        <stp>*Q</stp>
        <stp>O:IBM 22M133.00D28</stp>
        <stp>Bid</stp>
        <tr r="S36" s="24"/>
      </tp>
      <tp>
        <v>0.81</v>
        <stp/>
        <stp>*Q</stp>
        <stp>O:IBM 22A133.00D28</stp>
        <stp>Bid</stp>
        <tr r="H36" s="24"/>
      </tp>
    </main>
    <main first="fsxl">
      <tp>
        <v>141749</v>
        <stp/>
        <stp>%BRN 1!-ICE</stp>
        <stp>OpenInt</stp>
        <tr r="N7" s="20"/>
      </tp>
    </main>
    <main first="ice.xl">
      <tp>
        <v>2.36</v>
        <stp/>
        <stp>*Q</stp>
        <stp>O:IBM 22A131.00D28</stp>
        <stp>Ask</stp>
        <tr r="I34" s="24"/>
      </tp>
      <tp>
        <v>0.62</v>
        <stp/>
        <stp>*Q</stp>
        <stp>O:IBM 22M131.00D28</stp>
        <stp>Ask</stp>
        <tr r="T34" s="24"/>
      </tp>
      <tp>
        <v>0.85</v>
        <stp/>
        <stp>*Q</stp>
        <stp>O:IBM 22M132.00D28</stp>
        <stp>Bid</stp>
        <tr r="S35" s="24"/>
      </tp>
      <tp>
        <v>1.3</v>
        <stp/>
        <stp>*Q</stp>
        <stp>O:IBM 22A132.00D28</stp>
        <stp>Bid</stp>
        <tr r="H35" s="24"/>
      </tp>
    </main>
    <main first="fsxl">
      <tp t="s">
        <v/>
        <stp/>
        <stp xml:space="preserve">WBS 18F:BRN18F-ICE </stp>
        <stp>Open</stp>
        <tr r="I11" s="20"/>
      </tp>
    </main>
    <main first="ice.xl">
      <tp>
        <v>0.18</v>
        <stp/>
        <stp>*Q</stp>
        <stp>O:IBM 22A136.00D28</stp>
        <stp>Ask</stp>
        <tr r="I39" s="24"/>
      </tp>
      <tp>
        <v>3.8</v>
        <stp/>
        <stp>*Q</stp>
        <stp>O:IBM 22M136.00D28</stp>
        <stp>Ask</stp>
        <tr r="T39" s="24"/>
      </tp>
      <tp>
        <v>2.5</v>
        <stp/>
        <stp>*Q</stp>
        <stp>O:IBM 22M135.00D28</stp>
        <stp>Bid</stp>
        <tr r="S38" s="24"/>
      </tp>
      <tp>
        <v>0.27</v>
        <stp/>
        <stp>*Q</stp>
        <stp>O:IBM 22A135.00D28</stp>
        <stp>Bid</stp>
        <tr r="H38" s="24"/>
      </tp>
    </main>
    <main first="fsxl">
      <tp>
        <v>88.55</v>
        <stp/>
        <stp>WBS 1!-ICE</stp>
        <stp>High</stp>
        <tr r="J8" s="20"/>
      </tp>
      <tp t="s">
        <v>BRN 22JC8850-ICE</v>
        <stp/>
        <stp>*OBSY</stp>
        <stp>BRN-ICE</stp>
        <stp>C</stp>
        <stp>88.5</stp>
        <tr r="G17" s="24"/>
      </tp>
      <tp t="s">
        <v>BRN 22JP8850-ICE</v>
        <stp/>
        <stp>*OBSY</stp>
        <stp>BRN-ICE</stp>
        <stp>P</stp>
        <stp>88.5</stp>
        <tr r="O17" s="24"/>
      </tp>
      <tp>
        <v>3.34</v>
        <stp/>
        <stp>BRN 22JP8750-ICE</stp>
        <stp>Bid</stp>
        <tr r="P13" s="24"/>
      </tp>
      <tp>
        <v>4.5199999999999996</v>
        <stp/>
        <stp>BRN 22JC8750-ICE</stp>
        <stp>Bid</stp>
        <tr r="H13" s="24"/>
      </tp>
      <tp>
        <v>3.45</v>
        <stp/>
        <stp>BRN 22JP8775-ICE</stp>
        <stp>Bid</stp>
        <tr r="P14" s="24"/>
      </tp>
      <tp>
        <v>4.38</v>
        <stp/>
        <stp>BRN 22JC8775-ICE</stp>
        <stp>Bid</stp>
        <tr r="H14" s="24"/>
      </tp>
    </main>
    <main first="ice.xl">
      <tp>
        <v>0.1</v>
        <stp/>
        <stp>*Q</stp>
        <stp>O:IBM 22A137.00D28</stp>
        <stp>Ask</stp>
        <tr r="I40" s="24"/>
      </tp>
      <tp>
        <v>4.8499999999999996</v>
        <stp/>
        <stp>*Q</stp>
        <stp>O:IBM 22M137.00D28</stp>
        <stp>Ask</stp>
        <tr r="T40" s="24"/>
      </tp>
      <tp>
        <v>1.64</v>
        <stp/>
        <stp>*Q</stp>
        <stp>O:IBM 22M134.00D28</stp>
        <stp>Bid</stp>
        <tr r="S37" s="24"/>
      </tp>
      <tp>
        <v>0.48</v>
        <stp/>
        <stp>*Q</stp>
        <stp>O:IBM 22A134.00D28</stp>
        <stp>Bid</stp>
        <tr r="H37" s="24"/>
      </tp>
    </main>
    <main first="fsxl">
      <tp t="s">
        <v>BRN 22JC8950-ICE</v>
        <stp/>
        <stp>*OBSY</stp>
        <stp>BRN-ICE</stp>
        <stp>C</stp>
        <stp>89.5</stp>
        <tr r="G21" s="24"/>
      </tp>
      <tp t="s">
        <v>BRN 22JP8950-ICE</v>
        <stp/>
        <stp>*OBSY</stp>
        <stp>BRN-ICE</stp>
        <stp>P</stp>
        <stp>89.5</stp>
        <tr r="O21" s="24"/>
      </tp>
    </main>
    <main first="ice.xl">
      <tp>
        <v>0.57999999999999996</v>
        <stp/>
        <stp>*Q</stp>
        <stp>O:IBM 22A134.00D28</stp>
        <stp>Ask</stp>
        <tr r="I37" s="24"/>
      </tp>
      <tp>
        <v>2.1</v>
        <stp/>
        <stp>*Q</stp>
        <stp>O:IBM 22M134.00D28</stp>
        <stp>Ask</stp>
        <tr r="T37" s="24"/>
      </tp>
      <tp>
        <v>4.3499999999999996</v>
        <stp/>
        <stp>*Q</stp>
        <stp>O:IBM 22M137.00D28</stp>
        <stp>Bid</stp>
        <tr r="S40" s="24"/>
      </tp>
      <tp>
        <v>0.13</v>
        <stp/>
        <stp>*Q</stp>
        <stp>O:IBM 22M129.00D28</stp>
        <stp>Low</stp>
        <tr r="V32" s="24"/>
      </tp>
      <tp>
        <v>3.67</v>
        <stp/>
        <stp>*Q</stp>
        <stp>O:IBM 22A129.00D28</stp>
        <stp>Low</stp>
        <tr r="K32" s="24"/>
      </tp>
      <tp>
        <v>7.0000000000000007E-2</v>
        <stp/>
        <stp>*Q</stp>
        <stp>O:IBM 22A137.00D28</stp>
        <stp>Bid</stp>
        <tr r="H40" s="24"/>
      </tp>
    </main>
    <main first="fsxl">
      <tp t="s">
        <v>BRN 22JC8800-ICE</v>
        <stp/>
        <stp>*OBSY</stp>
        <stp>BRN-ICE</stp>
        <stp>C</stp>
        <stp>88</stp>
        <tr r="G15" s="24"/>
      </tp>
      <tp t="s">
        <v>BRN 22JP8800-ICE</v>
        <stp/>
        <stp>*OBSY</stp>
        <stp>BRN-ICE</stp>
        <stp>P</stp>
        <stp>88</stp>
        <tr r="O15" s="24"/>
      </tp>
      <tp t="s">
        <v>BRN 22JC8900-ICE</v>
        <stp/>
        <stp>*OBSY</stp>
        <stp>BRN-ICE</stp>
        <stp>C</stp>
        <stp>89</stp>
        <tr r="G19" s="24"/>
      </tp>
      <tp t="s">
        <v>BRN 22JP8900-ICE</v>
        <stp/>
        <stp>*OBSY</stp>
        <stp>BRN-ICE</stp>
        <stp>P</stp>
        <stp>89</stp>
        <tr r="O19" s="24"/>
      </tp>
    </main>
    <main first="ice.xl">
      <tp>
        <v>0.31</v>
        <stp/>
        <stp>*Q</stp>
        <stp>O:IBM 22A135.00D28</stp>
        <stp>Ask</stp>
        <tr r="I38" s="24"/>
      </tp>
      <tp>
        <v>2.82</v>
        <stp/>
        <stp>*Q</stp>
        <stp>O:IBM 22M135.00D28</stp>
        <stp>Ask</stp>
        <tr r="T38" s="24"/>
      </tp>
      <tp>
        <v>3.4</v>
        <stp/>
        <stp>*Q</stp>
        <stp>O:IBM 22M136.00D28</stp>
        <stp>Bid</stp>
        <tr r="S39" s="24"/>
      </tp>
      <tp>
        <v>0.09</v>
        <stp/>
        <stp>*Q</stp>
        <stp>O:IBM 22M128.00D28</stp>
        <stp>Low</stp>
        <tr r="V31" s="24"/>
      </tp>
      <tp>
        <v>4.5199999999999996</v>
        <stp/>
        <stp>*Q</stp>
        <stp>O:IBM 22A128.00D28</stp>
        <stp>Low</stp>
        <tr r="K31" s="24"/>
      </tp>
      <tp>
        <v>0.14000000000000001</v>
        <stp/>
        <stp>*Q</stp>
        <stp>O:IBM 22A136.00D28</stp>
        <stp>Bid</stp>
        <tr r="H39" s="24"/>
      </tp>
    </main>
    <main first="ice.xl">
      <tp>
        <v>-1.2959999999999999E-2</v>
        <stp/>
        <stp>*Q</stp>
        <stp>IBM</stp>
        <stp>% Change</stp>
        <tr r="J28" s="24"/>
      </tp>
    </main>
    <main first="fsxl">
      <tp>
        <v>3.5</v>
        <stp/>
        <stp>BRN 22JP8775-ICE</stp>
        <stp>Ask</stp>
        <tr r="Q14" s="24"/>
      </tp>
      <tp>
        <v>4.45</v>
        <stp/>
        <stp>BRN 22JC8775-ICE</stp>
        <stp>Ask</stp>
        <tr r="I14" s="24"/>
      </tp>
      <tp>
        <v>3.39</v>
        <stp/>
        <stp>BRN 22JP8750-ICE</stp>
        <stp>Ask</stp>
        <tr r="Q13" s="24"/>
      </tp>
      <tp>
        <v>4.59</v>
        <stp/>
        <stp>BRN 22JC8750-ICE</stp>
        <stp>Ask</stp>
        <tr r="I13" s="24"/>
      </tp>
    </main>
    <main first="ice.xl">
      <tp>
        <v>0.19</v>
        <stp/>
        <stp>*Q</stp>
        <stp>O:IBM 22M129.00D28</stp>
        <stp>Bid</stp>
        <tr r="S32" s="24"/>
      </tp>
      <tp>
        <v>3.26</v>
        <stp/>
        <stp>*Q</stp>
        <stp>O:IBM 22M137.00D28</stp>
        <stp>Low</stp>
        <tr r="V40" s="24"/>
      </tp>
      <tp>
        <v>0.08</v>
        <stp/>
        <stp>*Q</stp>
        <stp>O:IBM 22A137.00D28</stp>
        <stp>Low</stp>
        <tr r="K40" s="24"/>
      </tp>
      <tp>
        <v>3.55</v>
        <stp/>
        <stp>*Q</stp>
        <stp>O:IBM 22A129.00D28</stp>
        <stp>Bid</stp>
        <tr r="H32" s="24"/>
      </tp>
    </main>
    <main first="fsxl">
      <tp>
        <v>3.74</v>
        <stp/>
        <stp>BRN 22JP8825-ICE</stp>
        <stp>Ask</stp>
        <tr r="Q16" s="24"/>
      </tp>
      <tp>
        <v>4.1900000000000004</v>
        <stp/>
        <stp>BRN 22JC8825-ICE</stp>
        <stp>Ask</stp>
        <tr r="I16" s="24"/>
      </tp>
      <tp>
        <v>3.62</v>
        <stp/>
        <stp>BRN 22JP8800-ICE</stp>
        <stp>Ask</stp>
        <tr r="Q15" s="24"/>
      </tp>
      <tp>
        <v>4.32</v>
        <stp/>
        <stp>BRN 22JC8800-ICE</stp>
        <stp>Ask</stp>
        <tr r="I15" s="24"/>
      </tp>
      <tp>
        <v>3.98</v>
        <stp/>
        <stp>BRN 22JP8875-ICE</stp>
        <stp>Ask</stp>
        <tr r="Q18" s="24"/>
      </tp>
      <tp>
        <v>3.93</v>
        <stp/>
        <stp>BRN 22JC8875-ICE</stp>
        <stp>Ask</stp>
        <tr r="I18" s="24"/>
      </tp>
      <tp>
        <v>3.86</v>
        <stp/>
        <stp>BRN 22JP8850-ICE</stp>
        <stp>Ask</stp>
        <tr r="Q17" s="24"/>
      </tp>
      <tp>
        <v>4.05</v>
        <stp/>
        <stp>BRN 22JC8850-ICE</stp>
        <stp>Ask</stp>
        <tr r="I17" s="24"/>
      </tp>
    </main>
    <main first="ice.xl">
      <tp>
        <v>0.13</v>
        <stp/>
        <stp>*Q</stp>
        <stp>O:IBM 22M128.00D28</stp>
        <stp>Bid</stp>
        <tr r="S31" s="24"/>
      </tp>
      <tp>
        <v>1.88</v>
        <stp/>
        <stp>*Q</stp>
        <stp>O:IBM 22M136.00D28</stp>
        <stp>Low</stp>
        <tr r="V39" s="24"/>
      </tp>
      <tp>
        <v>0.15</v>
        <stp/>
        <stp>*Q</stp>
        <stp>O:IBM 22A136.00D28</stp>
        <stp>Low</stp>
        <tr r="K39" s="24"/>
      </tp>
      <tp>
        <v>4.5</v>
        <stp/>
        <stp>*Q</stp>
        <stp>O:IBM 22A128.00D28</stp>
        <stp>Bid</stp>
        <tr r="H31" s="24"/>
      </tp>
    </main>
    <main first="fsxl">
      <tp>
        <v>89.88</v>
        <stp/>
        <stp>%BRN 1!-ICE</stp>
        <stp>Last</stp>
        <tr r="L7" s="20"/>
      </tp>
    </main>
    <main first="fsxl">
      <tp>
        <v>-2.6799999999999926</v>
        <stp/>
        <stp>='WBS 1!-ICE' - 'BRN 1!-ICE'</stp>
        <stp>Last</stp>
        <tr r="L14" s="20"/>
      </tp>
      <tp>
        <v>4.24</v>
        <stp/>
        <stp>BRN 22JP8925-ICE</stp>
        <stp>Ask</stp>
        <tr r="Q20" s="24"/>
      </tp>
      <tp>
        <v>3.68</v>
        <stp/>
        <stp>BRN 22JC8925-ICE</stp>
        <stp>Ask</stp>
        <tr r="I20" s="24"/>
      </tp>
      <tp>
        <v>4.1100000000000003</v>
        <stp/>
        <stp>BRN 22JP8900-ICE</stp>
        <stp>Ask</stp>
        <tr r="Q19" s="24"/>
      </tp>
      <tp>
        <v>3.8</v>
        <stp/>
        <stp>BRN 22JC8900-ICE</stp>
        <stp>Ask</stp>
        <tr r="I19" s="24"/>
      </tp>
      <tp>
        <v>4.51</v>
        <stp/>
        <stp>BRN 22JP8975-ICE</stp>
        <stp>Ask</stp>
        <tr r="Q22" s="24"/>
      </tp>
      <tp>
        <v>3.45</v>
        <stp/>
        <stp>BRN 22JC8975-ICE</stp>
        <stp>Ask</stp>
        <tr r="I22" s="24"/>
      </tp>
      <tp>
        <v>4.37</v>
        <stp/>
        <stp>BRN 22JP8950-ICE</stp>
        <stp>Ask</stp>
        <tr r="Q21" s="24"/>
      </tp>
      <tp>
        <v>3.57</v>
        <stp/>
        <stp>BRN 22JC8950-ICE</stp>
        <stp>Ask</stp>
        <tr r="I21" s="24"/>
      </tp>
    </main>
    <main first="ice.xl">
      <tp>
        <v>4.9000000000000004</v>
        <stp/>
        <stp>*Q</stp>
        <stp>O:IBM 22A128.00D28</stp>
        <stp>Ask</stp>
        <tr r="I31" s="24"/>
      </tp>
      <tp>
        <v>0.17</v>
        <stp/>
        <stp>*Q</stp>
        <stp>O:IBM 22M128.00D28</stp>
        <stp>Ask</stp>
        <tr r="T31" s="24"/>
      </tp>
    </main>
    <main first="fsxl">
      <tp>
        <v>-6.9999999999993179E-2</v>
        <stp/>
        <stp>='WBS 1!-ICE' - 'BRN 1!-ICE'</stp>
        <stp>Change</stp>
        <tr r="O14" s="20"/>
      </tp>
    </main>
    <main first="ice.xl">
      <tp>
        <v>1.3</v>
        <stp/>
        <stp>*Q</stp>
        <stp>O:IBM 22M135.00D28</stp>
        <stp>Low</stp>
        <tr r="V38" s="24"/>
      </tp>
      <tp>
        <v>0.28999999999999998</v>
        <stp/>
        <stp>*Q</stp>
        <stp>O:IBM 22A135.00D28</stp>
        <stp>Low</stp>
        <tr r="K38" s="24"/>
      </tp>
    </main>
    <main first="fsxl">
      <tp t="s">
        <v/>
        <stp/>
        <stp>=('NG 1!'+'NG 2!'+'NG 3!') /3</stp>
        <stp>Volume</stp>
        <tr r="M17" s="20"/>
      </tp>
      <tp>
        <v>4.0599999999999996</v>
        <stp/>
        <stp>BRN 22JP8900-ICE</stp>
        <stp>Bid</stp>
        <tr r="P19" s="24"/>
      </tp>
      <tp>
        <v>3.74</v>
        <stp/>
        <stp>BRN 22JC8900-ICE</stp>
        <stp>Bid</stp>
        <tr r="H19" s="24"/>
      </tp>
      <tp>
        <v>4.18</v>
        <stp/>
        <stp>BRN 22JP8925-ICE</stp>
        <stp>Bid</stp>
        <tr r="P20" s="24"/>
      </tp>
      <tp>
        <v>3.62</v>
        <stp/>
        <stp>BRN 22JC8925-ICE</stp>
        <stp>Bid</stp>
        <tr r="H20" s="24"/>
      </tp>
      <tp>
        <v>4.32</v>
        <stp/>
        <stp>BRN 22JP8950-ICE</stp>
        <stp>Bid</stp>
        <tr r="P21" s="24"/>
      </tp>
      <tp>
        <v>3.51</v>
        <stp/>
        <stp>BRN 22JC8950-ICE</stp>
        <stp>Bid</stp>
        <tr r="H21" s="24"/>
      </tp>
      <tp>
        <v>4.45</v>
        <stp/>
        <stp>BRN 22JP8975-ICE</stp>
        <stp>Bid</stp>
        <tr r="P22" s="24"/>
      </tp>
      <tp>
        <v>3.39</v>
        <stp/>
        <stp>BRN 22JC8975-ICE</stp>
        <stp>Bid</stp>
        <tr r="H22" s="24"/>
      </tp>
      <tp>
        <v>89.03</v>
        <stp/>
        <stp>*H</stp>
        <stp>BRN 1!-ICE</stp>
        <stp>Last</stp>
        <stp>I60</stp>
        <stp>44588.5416666667</stp>
        <tr r="T13" s="19"/>
      </tp>
      <tp>
        <v>89.7</v>
        <stp/>
        <stp>*H</stp>
        <stp>BRN 1!-ICE</stp>
        <stp>Last</stp>
        <stp>I60</stp>
        <stp>44588.5833333333</stp>
        <tr r="S13" s="19"/>
      </tp>
    </main>
    <main first="ice.xl">
      <tp>
        <v>4</v>
        <stp/>
        <stp>*Q</stp>
        <stp>O:IBM 22A129.00D28</stp>
        <stp>Ask</stp>
        <tr r="I32" s="24"/>
      </tp>
      <tp>
        <v>0.26</v>
        <stp/>
        <stp>*Q</stp>
        <stp>O:IBM 22M129.00D28</stp>
        <stp>Ask</stp>
        <tr r="T32" s="24"/>
      </tp>
      <tp>
        <v>0.86</v>
        <stp/>
        <stp>*Q</stp>
        <stp>O:IBM 22M134.00D28</stp>
        <stp>Low</stp>
        <tr r="V37" s="24"/>
      </tp>
      <tp>
        <v>0.52</v>
        <stp/>
        <stp>*Q</stp>
        <stp>O:IBM 22A134.00D28</stp>
        <stp>Low</stp>
        <tr r="K37" s="24"/>
      </tp>
    </main>
    <main first="fsxl">
      <tp t="s">
        <v>BRN 22JC8750-ICE</v>
        <stp/>
        <stp>*OBSY</stp>
        <stp>BRN-ICE</stp>
        <stp>C</stp>
        <stp>87.5</stp>
        <tr r="G13" s="24"/>
      </tp>
      <tp t="s">
        <v>BRN 22JP8750-ICE</v>
        <stp/>
        <stp>*OBSY</stp>
        <stp>BRN-ICE</stp>
        <stp>P</stp>
        <stp>87.5</stp>
        <tr r="O13" s="24"/>
      </tp>
      <tp>
        <v>3.56</v>
        <stp/>
        <stp>BRN 22JP8800-ICE</stp>
        <stp>Bid</stp>
        <tr r="P15" s="24"/>
      </tp>
      <tp>
        <v>4.25</v>
        <stp/>
        <stp>BRN 22JC8800-ICE</stp>
        <stp>Bid</stp>
        <tr r="H15" s="24"/>
      </tp>
      <tp>
        <v>3.68</v>
        <stp/>
        <stp>BRN 22JP8825-ICE</stp>
        <stp>Bid</stp>
        <tr r="P16" s="24"/>
      </tp>
      <tp>
        <v>4.12</v>
        <stp/>
        <stp>BRN 22JC8825-ICE</stp>
        <stp>Bid</stp>
        <tr r="H16" s="24"/>
      </tp>
      <tp>
        <v>3.8</v>
        <stp/>
        <stp>BRN 22JP8850-ICE</stp>
        <stp>Bid</stp>
        <tr r="P17" s="24"/>
      </tp>
      <tp>
        <v>3.99</v>
        <stp/>
        <stp>BRN 22JC8850-ICE</stp>
        <stp>Bid</stp>
        <tr r="H17" s="24"/>
      </tp>
      <tp>
        <v>3.93</v>
        <stp/>
        <stp>BRN 22JP8875-ICE</stp>
        <stp>Bid</stp>
        <tr r="P18" s="24"/>
      </tp>
      <tp>
        <v>3.87</v>
        <stp/>
        <stp>BRN 22JC8875-ICE</stp>
        <stp>Bid</stp>
        <tr r="H18" s="24"/>
      </tp>
    </main>
    <main first="ice.xl">
      <tp>
        <v>0.56000000000000005</v>
        <stp/>
        <stp>*Q</stp>
        <stp>O:IBM 22M133.00D28</stp>
        <stp>Low</stp>
        <tr r="V36" s="24"/>
      </tp>
      <tp>
        <v>0.89</v>
        <stp/>
        <stp>*Q</stp>
        <stp>O:IBM 22A133.00D28</stp>
        <stp>Low</stp>
        <tr r="K36" s="24"/>
      </tp>
    </main>
    <main first="fsxl">
      <tp>
        <v>87.2</v>
        <stp/>
        <stp>WBS 1!-ICE</stp>
        <stp>Last</stp>
        <tr r="L8" s="20"/>
      </tp>
    </main>
    <main first="ice.xl">
      <tp>
        <v>0.36</v>
        <stp/>
        <stp>*Q</stp>
        <stp>O:IBM 22M132.00D28</stp>
        <stp>Low</stp>
        <tr r="V35" s="24"/>
      </tp>
      <tp>
        <v>1.34</v>
        <stp/>
        <stp>*Q</stp>
        <stp>O:IBM 22A132.00D28</stp>
        <stp>Low</stp>
        <tr r="K35" s="24"/>
      </tp>
    </main>
    <main first="ice.xl">
      <tp>
        <v>0.3</v>
        <stp/>
        <stp>*Q</stp>
        <stp>O:IBM 22M131.00D28</stp>
        <stp>Low</stp>
        <tr r="V34" s="24"/>
      </tp>
      <tp>
        <v>2.09</v>
        <stp/>
        <stp>*Q</stp>
        <stp>O:IBM 22A131.00D28</stp>
        <stp>Low</stp>
        <tr r="K34" s="24"/>
      </tp>
    </main>
    <main first="ice.xl">
      <tp>
        <v>0.16</v>
        <stp/>
        <stp>*Q</stp>
        <stp>O:IBM 22M130.00D28</stp>
        <stp>Low</stp>
        <tr r="V33" s="24"/>
      </tp>
      <tp>
        <v>2.68</v>
        <stp/>
        <stp>*Q</stp>
        <stp>O:IBM 22A130.00D28</stp>
        <stp>Low</stp>
        <tr r="K33" s="24"/>
      </tp>
    </main>
    <main first="fsxl">
      <tp>
        <v>759.25</v>
        <stp/>
        <stp>GAS 3!-ICE</stp>
        <stp>Open</stp>
        <tr r="I9" s="20"/>
      </tp>
    </main>
    <main first="fsxl">
      <tp t="s">
        <v/>
        <stp/>
        <stp>WBS 1!:2!-ICE</stp>
        <stp>OpenInt</stp>
        <tr r="N12" s="20"/>
      </tp>
      <tp t="s">
        <v>BRN 22JC8825-ICE</v>
        <stp/>
        <stp>*OBSY</stp>
        <stp>BRN-ICE</stp>
        <stp>C</stp>
        <stp>88.25</stp>
        <tr r="G16" s="24"/>
      </tp>
      <tp t="s">
        <v>BRN 22JC8925-ICE</v>
        <stp/>
        <stp>*OBSY</stp>
        <stp>BRN-ICE</stp>
        <stp>C</stp>
        <stp>89.25</stp>
        <tr r="G20" s="24"/>
      </tp>
      <tp t="s">
        <v>BRN 22JC8875-ICE</v>
        <stp/>
        <stp>*OBSY</stp>
        <stp>BRN-ICE</stp>
        <stp>C</stp>
        <stp>88.75</stp>
        <tr r="G18" s="24"/>
      </tp>
      <tp t="s">
        <v>BRN 22JC8975-ICE</v>
        <stp/>
        <stp>*OBSY</stp>
        <stp>BRN-ICE</stp>
        <stp>C</stp>
        <stp>89.75</stp>
        <tr r="G22" s="24"/>
      </tp>
      <tp t="s">
        <v>BRN 22JC8775-ICE</v>
        <stp/>
        <stp>*OBSY</stp>
        <stp>BRN-ICE</stp>
        <stp>C</stp>
        <stp>87.75</stp>
        <tr r="G14" s="24"/>
      </tp>
    </main>
    <main first="fsxl">
      <tp>
        <v>19.979399999999998</v>
        <stp/>
        <stp>='%XRB 1!;7E' * 42 - '%CL 1!'</stp>
        <stp>High</stp>
        <tr r="J16" s="20"/>
      </tp>
      <tp>
        <v>6.0000000000000001E-3</v>
        <stp/>
        <stp>UHO 7!:8!-ICE</stp>
        <stp>Last</stp>
        <tr r="L13" s="20"/>
      </tp>
      <tp>
        <v>23.212800000000001</v>
        <stp/>
        <stp>='%HO 1!;11E' * 42 - '%BRN 1!-ICE'</stp>
        <stp>Open</stp>
        <tr r="I18" s="20"/>
      </tp>
      <tp>
        <v>2.9999999999999997E-4</v>
        <stp/>
        <stp>UHO 7!:8!-ICE</stp>
        <stp>Change</stp>
        <tr r="O13" s="20"/>
      </tp>
      <tp>
        <v>1.47</v>
        <stp/>
        <stp>WBS 1!:2!-ICE</stp>
        <stp>High</stp>
        <tr r="J12" s="20"/>
      </tp>
      <tp t="s">
        <v/>
        <stp/>
        <stp>='%HO 1!;11E' * 42 - '%BRN 1!-ICE'</stp>
        <stp>OpenInt</stp>
        <tr r="N18" s="20"/>
      </tp>
      <tp>
        <v>740.4473684210526</v>
        <stp/>
        <stp>*H</stp>
        <stp>GAS 1!-ICE</stp>
        <stp>Last</stp>
        <stp>MA</stp>
        <stp>44588.625</stp>
        <tr r="R24" s="19"/>
      </tp>
      <tp>
        <v>5.3553333333333333</v>
        <stp/>
        <stp>=('NG 1!'+'NG 2!'+'NG 3!') /3</stp>
        <stp>High</stp>
        <tr r="J17" s="20"/>
      </tp>
    </main>
    <main first="fsxl">
      <tp>
        <v>2.1404751134210089</v>
        <stp/>
        <stp>BRN 1!-ICE[GAL]</stp>
        <stp>Ask</stp>
        <tr r="J19" s="19"/>
      </tp>
    </main>
    <main first="ice.xl">
      <tp>
        <v>132</v>
        <stp/>
        <stp>*OBSTE</stp>
        <stp>IBM 2022-01-28</stp>
        <stp>-1</stp>
        <tr r="Q35" s="24"/>
      </tp>
      <tp>
        <v>130</v>
        <stp/>
        <stp>*OBSTE</stp>
        <stp>IBM 2022-01-28</stp>
        <stp>-3</stp>
        <tr r="Q33" s="24"/>
      </tp>
      <tp>
        <v>131</v>
        <stp/>
        <stp>*OBSTE</stp>
        <stp>IBM 2022-01-28</stp>
        <stp>-2</stp>
        <tr r="Q34" s="24"/>
      </tp>
      <tp>
        <v>128</v>
        <stp/>
        <stp>*OBSTE</stp>
        <stp>IBM 2022-01-28</stp>
        <stp>-5</stp>
        <tr r="Q31" s="24"/>
      </tp>
      <tp>
        <v>129</v>
        <stp/>
        <stp>*OBSTE</stp>
        <stp>IBM 2022-01-28</stp>
        <stp>-4</stp>
        <tr r="Q32" s="24"/>
      </tp>
    </main>
    <main first="fsxl">
      <tp>
        <v>89.7</v>
        <stp/>
        <stp>*H</stp>
        <stp>BRN 1!-ICE</stp>
        <stp>Last</stp>
        <stp>I60</stp>
        <stp/>
        <stp>1</stp>
        <tr r="N13" s="19"/>
      </tp>
      <tp>
        <v>89.88</v>
        <stp/>
        <stp>*H</stp>
        <stp>BRN 1!-ICE</stp>
        <stp>Last</stp>
        <stp>I60</stp>
        <stp/>
        <stp>0</stp>
        <tr r="M13" s="19"/>
      </tp>
      <tp>
        <v>89.03</v>
        <stp/>
        <stp>*H</stp>
        <stp>BRN 1!-ICE</stp>
        <stp>Last</stp>
        <stp>I60</stp>
        <stp/>
        <stp>2</stp>
        <tr r="O13" s="19"/>
      </tp>
      <tp>
        <v>792</v>
        <stp/>
        <stp>*H</stp>
        <stp>GAS 1!-ICE</stp>
        <stp>Last</stp>
        <stp>I60</stp>
        <stp/>
        <stp>2</stp>
        <tr r="O14" s="19"/>
      </tp>
      <tp>
        <v>801.25</v>
        <stp/>
        <stp>*H</stp>
        <stp>GAS 1!-ICE</stp>
        <stp>Last</stp>
        <stp>I60</stp>
        <stp/>
        <stp>0</stp>
        <tr r="M14" s="19"/>
      </tp>
      <tp>
        <v>798.25</v>
        <stp/>
        <stp>*H</stp>
        <stp>GAS 1!-ICE</stp>
        <stp>Last</stp>
        <stp>I60</stp>
        <stp/>
        <stp>1</stp>
        <tr r="N14" s="19"/>
      </tp>
    </main>
    <main first="ice.xl">
      <tp t="s">
        <v/>
        <stp/>
        <stp>*H</stp>
        <stp>WBS 1!-ICE</stp>
        <stp>OpenInt</stp>
        <stp>D</stp>
        <stp>44588.25</stp>
        <tr r="M19" s="21"/>
      </tp>
      <tp>
        <v>74983</v>
        <stp/>
        <stp>*H</stp>
        <stp>WBS 1!-ICE</stp>
        <stp>OpenInt</stp>
        <stp>D</stp>
        <stp>44580.25</stp>
        <tr r="M25" s="21"/>
      </tp>
      <tp>
        <v>74134</v>
        <stp/>
        <stp>*H</stp>
        <stp>WBS 1!-ICE</stp>
        <stp>OpenInt</stp>
        <stp>D</stp>
        <stp>44581.25</stp>
        <tr r="M24" s="21"/>
      </tp>
      <tp>
        <v>76952</v>
        <stp/>
        <stp>*H</stp>
        <stp>WBS 1!-ICE</stp>
        <stp>OpenInt</stp>
        <stp>D</stp>
        <stp>44582.25</stp>
        <tr r="M23" s="21"/>
      </tp>
      <tp>
        <v>75947</v>
        <stp/>
        <stp>*H</stp>
        <stp>WBS 1!-ICE</stp>
        <stp>OpenInt</stp>
        <stp>D</stp>
        <stp>44585.25</stp>
        <tr r="M22" s="21"/>
      </tp>
      <tp>
        <v>74176</v>
        <stp/>
        <stp>*H</stp>
        <stp>WBS 1!-ICE</stp>
        <stp>OpenInt</stp>
        <stp>D</stp>
        <stp>44586.25</stp>
        <tr r="M21" s="21"/>
      </tp>
      <tp>
        <v>65955</v>
        <stp/>
        <stp>*H</stp>
        <stp>WBS 1!-ICE</stp>
        <stp>OpenInt</stp>
        <stp>D</stp>
        <stp>44587.25</stp>
        <tr r="M20" s="21"/>
      </tp>
      <tp>
        <v>45848</v>
        <stp/>
        <stp>*H</stp>
        <stp>WBS 1!-ICE</stp>
        <stp>OpenInt</stp>
        <stp>D</stp>
        <stp>44540.25</stp>
        <tr r="M53" s="21"/>
      </tp>
      <tp>
        <v>46586</v>
        <stp/>
        <stp>*H</stp>
        <stp>WBS 1!-ICE</stp>
        <stp>OpenInt</stp>
        <stp>D</stp>
        <stp>44543.25</stp>
        <tr r="M52" s="21"/>
      </tp>
      <tp>
        <v>47639</v>
        <stp/>
        <stp>*H</stp>
        <stp>WBS 1!-ICE</stp>
        <stp>OpenInt</stp>
        <stp>D</stp>
        <stp>44544.25</stp>
        <tr r="M51" s="21"/>
      </tp>
      <tp>
        <v>47125</v>
        <stp/>
        <stp>*H</stp>
        <stp>WBS 1!-ICE</stp>
        <stp>OpenInt</stp>
        <stp>D</stp>
        <stp>44545.25</stp>
        <tr r="M50" s="21"/>
      </tp>
      <tp>
        <v>47698</v>
        <stp/>
        <stp>*H</stp>
        <stp>WBS 1!-ICE</stp>
        <stp>OpenInt</stp>
        <stp>D</stp>
        <stp>44546.25</stp>
        <tr r="M49" s="21"/>
      </tp>
      <tp>
        <v>49370</v>
        <stp/>
        <stp>*H</stp>
        <stp>WBS 1!-ICE</stp>
        <stp>OpenInt</stp>
        <stp>D</stp>
        <stp>44547.25</stp>
        <tr r="M48" s="21"/>
      </tp>
      <tp>
        <v>52899</v>
        <stp/>
        <stp>*H</stp>
        <stp>WBS 1!-ICE</stp>
        <stp>OpenInt</stp>
        <stp>D</stp>
        <stp>44558.25</stp>
        <tr r="M41" s="21"/>
      </tp>
      <tp>
        <v>52321</v>
        <stp/>
        <stp>*H</stp>
        <stp>WBS 1!-ICE</stp>
        <stp>OpenInt</stp>
        <stp>D</stp>
        <stp>44559.25</stp>
        <tr r="M40" s="21"/>
      </tp>
      <tp>
        <v>50500</v>
        <stp/>
        <stp>*H</stp>
        <stp>WBS 1!-ICE</stp>
        <stp>OpenInt</stp>
        <stp>D</stp>
        <stp>44550.25</stp>
        <tr r="M47" s="21"/>
      </tp>
      <tp>
        <v>50243</v>
        <stp/>
        <stp>*H</stp>
        <stp>WBS 1!-ICE</stp>
        <stp>OpenInt</stp>
        <stp>D</stp>
        <stp>44551.25</stp>
        <tr r="M46" s="21"/>
      </tp>
      <tp>
        <v>50643</v>
        <stp/>
        <stp>*H</stp>
        <stp>WBS 1!-ICE</stp>
        <stp>OpenInt</stp>
        <stp>D</stp>
        <stp>44552.25</stp>
        <tr r="M45" s="21"/>
      </tp>
      <tp>
        <v>51724</v>
        <stp/>
        <stp>*H</stp>
        <stp>WBS 1!-ICE</stp>
        <stp>OpenInt</stp>
        <stp>D</stp>
        <stp>44553.25</stp>
        <tr r="M44" s="21"/>
      </tp>
      <tp>
        <v>51868</v>
        <stp/>
        <stp>*H</stp>
        <stp>WBS 1!-ICE</stp>
        <stp>OpenInt</stp>
        <stp>D</stp>
        <stp>44554.25</stp>
        <tr r="M43" s="21"/>
      </tp>
      <tp>
        <v>51706</v>
        <stp/>
        <stp>*H</stp>
        <stp>WBS 1!-ICE</stp>
        <stp>OpenInt</stp>
        <stp>D</stp>
        <stp>44557.25</stp>
        <tr r="M42" s="21"/>
      </tp>
      <tp>
        <v>66213</v>
        <stp/>
        <stp>*H</stp>
        <stp>WBS 1!-ICE</stp>
        <stp>OpenInt</stp>
        <stp>D</stp>
        <stp>44568.25</stp>
        <tr r="M33" s="21"/>
      </tp>
      <tp>
        <v>52169</v>
        <stp/>
        <stp>*H</stp>
        <stp>WBS 1!-ICE</stp>
        <stp>OpenInt</stp>
        <stp>D</stp>
        <stp>44560.25</stp>
        <tr r="M39" s="21"/>
      </tp>
      <tp>
        <v>52989</v>
        <stp/>
        <stp>*H</stp>
        <stp>WBS 1!-ICE</stp>
        <stp>OpenInt</stp>
        <stp>D</stp>
        <stp>44561.25</stp>
        <tr r="M38" s="21"/>
      </tp>
      <tp>
        <v>55015</v>
        <stp/>
        <stp>*H</stp>
        <stp>WBS 1!-ICE</stp>
        <stp>OpenInt</stp>
        <stp>D</stp>
        <stp>44564.25</stp>
        <tr r="M37" s="21"/>
      </tp>
      <tp>
        <v>57477</v>
        <stp/>
        <stp>*H</stp>
        <stp>WBS 1!-ICE</stp>
        <stp>OpenInt</stp>
        <stp>D</stp>
        <stp>44565.25</stp>
        <tr r="M36" s="21"/>
      </tp>
      <tp>
        <v>61799</v>
        <stp/>
        <stp>*H</stp>
        <stp>WBS 1!-ICE</stp>
        <stp>OpenInt</stp>
        <stp>D</stp>
        <stp>44566.25</stp>
        <tr r="M35" s="21"/>
      </tp>
      <tp>
        <v>65360</v>
        <stp/>
        <stp>*H</stp>
        <stp>WBS 1!-ICE</stp>
        <stp>OpenInt</stp>
        <stp>D</stp>
        <stp>44567.25</stp>
        <tr r="M34" s="21"/>
      </tp>
      <tp>
        <v>74759</v>
        <stp/>
        <stp>*H</stp>
        <stp>WBS 1!-ICE</stp>
        <stp>OpenInt</stp>
        <stp>D</stp>
        <stp>44578.25</stp>
        <tr r="M27" s="21"/>
      </tp>
      <tp>
        <v>77404</v>
        <stp/>
        <stp>*H</stp>
        <stp>WBS 1!-ICE</stp>
        <stp>OpenInt</stp>
        <stp>D</stp>
        <stp>44579.25</stp>
        <tr r="M26" s="21"/>
      </tp>
      <tp>
        <v>66888</v>
        <stp/>
        <stp>*H</stp>
        <stp>WBS 1!-ICE</stp>
        <stp>OpenInt</stp>
        <stp>D</stp>
        <stp>44571.25</stp>
        <tr r="M32" s="21"/>
      </tp>
      <tp>
        <v>69598</v>
        <stp/>
        <stp>*H</stp>
        <stp>WBS 1!-ICE</stp>
        <stp>OpenInt</stp>
        <stp>D</stp>
        <stp>44572.25</stp>
        <tr r="M31" s="21"/>
      </tp>
      <tp>
        <v>65832</v>
        <stp/>
        <stp>*H</stp>
        <stp>WBS 1!-ICE</stp>
        <stp>OpenInt</stp>
        <stp>D</stp>
        <stp>44573.25</stp>
        <tr r="M30" s="21"/>
      </tp>
      <tp>
        <v>67985</v>
        <stp/>
        <stp>*H</stp>
        <stp>WBS 1!-ICE</stp>
        <stp>OpenInt</stp>
        <stp>D</stp>
        <stp>44574.25</stp>
        <tr r="M29" s="21"/>
      </tp>
      <tp>
        <v>72919</v>
        <stp/>
        <stp>*H</stp>
        <stp>WBS 1!-ICE</stp>
        <stp>OpenInt</stp>
        <stp>D</stp>
        <stp>44575.25</stp>
        <tr r="M28" s="21"/>
      </tp>
      <tp>
        <v>47292</v>
        <stp/>
        <stp>*H</stp>
        <stp>WBS 1!-ICE</stp>
        <stp>OpenInt</stp>
        <stp>D</stp>
        <stp>44519.25</stp>
        <tr r="M68" s="21"/>
      </tp>
      <tp>
        <v>38681</v>
        <stp/>
        <stp>*H</stp>
        <stp>WBS 1!-ICE</stp>
        <stp>OpenInt</stp>
        <stp>D</stp>
        <stp>44529.25</stp>
        <tr r="M62" s="21"/>
      </tp>
      <tp>
        <v>46332</v>
        <stp/>
        <stp>*H</stp>
        <stp>WBS 1!-ICE</stp>
        <stp>OpenInt</stp>
        <stp>D</stp>
        <stp>44522.25</stp>
        <tr r="M67" s="21"/>
      </tp>
      <tp>
        <v>42592</v>
        <stp/>
        <stp>*H</stp>
        <stp>WBS 1!-ICE</stp>
        <stp>OpenInt</stp>
        <stp>D</stp>
        <stp>44523.25</stp>
        <tr r="M66" s="21"/>
      </tp>
      <tp>
        <v>42135</v>
        <stp/>
        <stp>*H</stp>
        <stp>WBS 1!-ICE</stp>
        <stp>OpenInt</stp>
        <stp>D</stp>
        <stp>44524.25</stp>
        <tr r="M65" s="21"/>
      </tp>
      <tp>
        <v>41999</v>
        <stp/>
        <stp>*H</stp>
        <stp>WBS 1!-ICE</stp>
        <stp>OpenInt</stp>
        <stp>D</stp>
        <stp>44525.25</stp>
        <tr r="M64" s="21"/>
      </tp>
      <tp>
        <v>39800</v>
        <stp/>
        <stp>*H</stp>
        <stp>WBS 1!-ICE</stp>
        <stp>OpenInt</stp>
        <stp>D</stp>
        <stp>44526.25</stp>
        <tr r="M63" s="21"/>
      </tp>
      <tp>
        <v>43553</v>
        <stp/>
        <stp>*H</stp>
        <stp>WBS 1!-ICE</stp>
        <stp>OpenInt</stp>
        <stp>D</stp>
        <stp>44538.25</stp>
        <tr r="M55" s="21"/>
      </tp>
      <tp>
        <v>44159</v>
        <stp/>
        <stp>*H</stp>
        <stp>WBS 1!-ICE</stp>
        <stp>OpenInt</stp>
        <stp>D</stp>
        <stp>44539.25</stp>
        <tr r="M54" s="21"/>
      </tp>
      <tp>
        <v>42617</v>
        <stp/>
        <stp>*H</stp>
        <stp>WBS 1!-ICE</stp>
        <stp>OpenInt</stp>
        <stp>D</stp>
        <stp>44530.25</stp>
        <tr r="M61" s="21"/>
      </tp>
      <tp>
        <v>41089</v>
        <stp/>
        <stp>*H</stp>
        <stp>WBS 1!-ICE</stp>
        <stp>OpenInt</stp>
        <stp>D</stp>
        <stp>44531.25</stp>
        <tr r="M60" s="21"/>
      </tp>
      <tp>
        <v>41165</v>
        <stp/>
        <stp>*H</stp>
        <stp>WBS 1!-ICE</stp>
        <stp>OpenInt</stp>
        <stp>D</stp>
        <stp>44532.25</stp>
        <tr r="M59" s="21"/>
      </tp>
      <tp>
        <v>43227</v>
        <stp/>
        <stp>*H</stp>
        <stp>WBS 1!-ICE</stp>
        <stp>OpenInt</stp>
        <stp>D</stp>
        <stp>44533.25</stp>
        <tr r="M58" s="21"/>
      </tp>
      <tp>
        <v>43487</v>
        <stp/>
        <stp>*H</stp>
        <stp>WBS 1!-ICE</stp>
        <stp>OpenInt</stp>
        <stp>D</stp>
        <stp>44536.25</stp>
        <tr r="M57" s="21"/>
      </tp>
      <tp>
        <v>43815</v>
        <stp/>
        <stp>*H</stp>
        <stp>WBS 1!-ICE</stp>
        <stp>OpenInt</stp>
        <stp>D</stp>
        <stp>44537.25</stp>
        <tr r="M56" s="21"/>
      </tp>
    </main>
    <main first="fsxl">
      <tp>
        <v>1.4093999999999909</v>
        <stp/>
        <stp>='%XRB 1!;7E' * 42 - '%CL 1!'</stp>
        <stp>Change</stp>
        <tr r="O16" s="20"/>
      </tp>
      <tp>
        <v>2.1402370183027197</v>
        <stp/>
        <stp>BRN 1!-ICE[GAL]</stp>
        <stp>Bid</stp>
        <tr r="I19" s="19"/>
      </tp>
      <tp>
        <v>7.4000000000000003E-3</v>
        <stp/>
        <stp>UHO 7!:8!-ICE</stp>
        <stp>High</stp>
        <tr r="J13" s="20"/>
      </tp>
      <tp>
        <v>20.033799999999999</v>
        <stp/>
        <stp>='%XRB 1!;7E' * 42 - '%CL 1!'</stp>
        <stp>Last</stp>
        <tr r="L16" s="20"/>
      </tp>
      <tp t="s">
        <v/>
        <stp/>
        <stp>='%XRB 1!;7E' * 42 - '%CL 1!'</stp>
        <stp>OpenInt</stp>
        <tr r="N16" s="20"/>
      </tp>
      <tp>
        <v>1.37</v>
        <stp/>
        <stp>WBS 1!:2!-ICE</stp>
        <stp>Last</stp>
        <tr r="L12" s="20"/>
      </tp>
    </main>
    <main first="ice.xl">
      <tp>
        <v>0.95</v>
        <stp/>
        <stp>*Q</stp>
        <stp>O:IBM 22M137.00D28</stp>
        <stp>Change</stp>
        <tr r="X40" s="24"/>
      </tp>
      <tp>
        <v>-0.57999999999999996</v>
        <stp/>
        <stp>*Q</stp>
        <stp>O:IBM 22A137.00D28</stp>
        <stp>Change</stp>
        <tr r="M40" s="24"/>
      </tp>
      <tp>
        <v>0.7</v>
        <stp/>
        <stp>*Q</stp>
        <stp>O:IBM 22M136.00D28</stp>
        <stp>Change</stp>
        <tr r="X39" s="24"/>
      </tp>
      <tp>
        <v>-0.8</v>
        <stp/>
        <stp>*Q</stp>
        <stp>O:IBM 22A136.00D28</stp>
        <stp>Change</stp>
        <tr r="M39" s="24"/>
      </tp>
      <tp>
        <v>0.37</v>
        <stp/>
        <stp>*Q</stp>
        <stp>O:IBM 22M135.00D28</stp>
        <stp>Change</stp>
        <tr r="X38" s="24"/>
      </tp>
      <tp>
        <v>-1.01</v>
        <stp/>
        <stp>*Q</stp>
        <stp>O:IBM 22A135.00D28</stp>
        <stp>Change</stp>
        <tr r="M38" s="24"/>
      </tp>
      <tp>
        <v>0.17</v>
        <stp/>
        <stp>*Q</stp>
        <stp>O:IBM 22M134.00D28</stp>
        <stp>Change</stp>
        <tr r="X37" s="24"/>
      </tp>
      <tp>
        <v>-1.07</v>
        <stp/>
        <stp>*Q</stp>
        <stp>O:IBM 22A134.00D28</stp>
        <stp>Change</stp>
        <tr r="M37" s="24"/>
      </tp>
      <tp>
        <v>-0.09</v>
        <stp/>
        <stp>*Q</stp>
        <stp>O:IBM 22M133.00D28</stp>
        <stp>Change</stp>
        <tr r="X36" s="24"/>
      </tp>
      <tp>
        <v>-1.55</v>
        <stp/>
        <stp>*Q</stp>
        <stp>O:IBM 22A133.00D28</stp>
        <stp>Change</stp>
        <tr r="M36" s="24"/>
      </tp>
      <tp>
        <v>0.01</v>
        <stp/>
        <stp>*Q</stp>
        <stp>O:IBM 22M132.00D28</stp>
        <stp>Change</stp>
        <tr r="X35" s="24"/>
      </tp>
      <tp>
        <v>-1.63</v>
        <stp/>
        <stp>*Q</stp>
        <stp>O:IBM 22A132.00D28</stp>
        <stp>Change</stp>
        <tr r="M35" s="24"/>
      </tp>
      <tp>
        <v>-0.14000000000000001</v>
        <stp/>
        <stp>*Q</stp>
        <stp>O:IBM 22M131.00D28</stp>
        <stp>Change</stp>
        <tr r="X34" s="24"/>
      </tp>
      <tp>
        <v>-1.31</v>
        <stp/>
        <stp>*Q</stp>
        <stp>O:IBM 22A131.00D28</stp>
        <stp>Change</stp>
        <tr r="M34" s="24"/>
      </tp>
      <tp>
        <v>-0.04</v>
        <stp/>
        <stp>*Q</stp>
        <stp>O:IBM 22M130.00D28</stp>
        <stp>Change</stp>
        <tr r="X33" s="24"/>
      </tp>
      <tp>
        <v>-1.35</v>
        <stp/>
        <stp>*Q</stp>
        <stp>O:IBM 22A130.00D28</stp>
        <stp>Change</stp>
        <tr r="M33" s="24"/>
      </tp>
    </main>
    <main first="fsxl">
      <tp>
        <v>-0.02</v>
        <stp/>
        <stp>WBS 1!:2!-ICE</stp>
        <stp>Change</stp>
        <tr r="O12" s="20"/>
      </tp>
    </main>
    <main first="fsxl">
      <tp t="s">
        <v>GAS OIL</v>
        <stp/>
        <stp>GAS 3!-ICE</stp>
        <stp>Description</stp>
        <tr r="H9" s="20"/>
      </tp>
      <tp t="s">
        <v>LIGHT CRUDE OIL-WTI</v>
        <stp/>
        <stp>WBS 1!-ICE</stp>
        <stp>Description</stp>
        <tr r="H8" s="20"/>
      </tp>
    </main>
    <main first="ice.xl">
      <tp>
        <v>-0.04</v>
        <stp/>
        <stp>*Q</stp>
        <stp>O:IBM 22M129.00D28</stp>
        <stp>Change</stp>
        <tr r="X32" s="24"/>
      </tp>
      <tp>
        <v>-1.58</v>
        <stp/>
        <stp>*Q</stp>
        <stp>O:IBM 22A129.00D28</stp>
        <stp>Change</stp>
        <tr r="M32" s="24"/>
      </tp>
      <tp>
        <v>-0.14000000000000001</v>
        <stp/>
        <stp>*Q</stp>
        <stp>O:IBM 22M128.00D28</stp>
        <stp>Change</stp>
        <tr r="X31" s="24"/>
      </tp>
      <tp>
        <v>-1.6</v>
        <stp/>
        <stp>*Q</stp>
        <stp>O:IBM 22A128.00D28</stp>
        <stp>Change</stp>
        <tr r="M31" s="24"/>
      </tp>
    </main>
    <main first="fsxl">
      <tp>
        <v>4.9563333333333333</v>
        <stp/>
        <stp>=('NG 1!'+'NG 2!'+'NG 3!') /3</stp>
        <stp>Last</stp>
        <tr r="L17" s="20"/>
      </tp>
      <tp t="s">
        <v/>
        <stp/>
        <stp>='%XRB 1!;7E' * 42 - '%CL 1!'</stp>
        <stp>Volume</stp>
        <tr r="M16" s="20"/>
      </tp>
      <tp t="s">
        <v>BRN 22JP8825-ICE</v>
        <stp/>
        <stp>*OBSY</stp>
        <stp>BRN-ICE</stp>
        <stp>P</stp>
        <stp>88.25</stp>
        <tr r="O16" s="24"/>
      </tp>
      <tp t="s">
        <v>BRN 22JP8925-ICE</v>
        <stp/>
        <stp>*OBSY</stp>
        <stp>BRN-ICE</stp>
        <stp>P</stp>
        <stp>89.25</stp>
        <tr r="O20" s="24"/>
      </tp>
      <tp t="s">
        <v>BRN 22JP8875-ICE</v>
        <stp/>
        <stp>*OBSY</stp>
        <stp>BRN-ICE</stp>
        <stp>P</stp>
        <stp>88.75</stp>
        <tr r="O18" s="24"/>
      </tp>
      <tp t="s">
        <v>BRN 22JP8975-ICE</v>
        <stp/>
        <stp>*OBSY</stp>
        <stp>BRN-ICE</stp>
        <stp>P</stp>
        <stp>89.75</stp>
        <tr r="O22" s="24"/>
      </tp>
      <tp t="s">
        <v>BRN 22JP8775-ICE</v>
        <stp/>
        <stp>*OBSY</stp>
        <stp>BRN-ICE</stp>
        <stp>P</stp>
        <stp>87.75</stp>
        <tr r="O14" s="24"/>
      </tp>
      <tp>
        <v>69.319999999999993</v>
        <stp/>
        <stp>*H</stp>
        <stp>BRN 1!-ICE</stp>
        <stp>Last</stp>
        <stp>D</stp>
        <stp>44532</stp>
        <tr r="T8" s="19"/>
      </tp>
      <tp>
        <v>79.53</v>
        <stp/>
        <stp>*H</stp>
        <stp>BRN 1!-ICE</stp>
        <stp>Last</stp>
        <stp>D</stp>
        <stp>44560</stp>
        <tr r="S8" s="19"/>
      </tp>
      <tp>
        <v>89.34</v>
        <stp/>
        <stp>*H</stp>
        <stp>BRN 1!-ICE</stp>
        <stp>Last</stp>
        <stp>D</stp>
        <stp>44588</stp>
        <tr r="R8" s="19"/>
      </tp>
    </main>
    <main first="ice.xl">
      <tp>
        <v>70.540000000000006</v>
        <stp/>
        <stp>*H</stp>
        <stp>WBS 1!-ICE</stp>
        <stp>Last</stp>
        <stp>D</stp>
        <stp>44539.25</stp>
        <tr r="H54" s="21"/>
      </tp>
      <tp>
        <v>71.900000000000006</v>
        <stp/>
        <stp>*H</stp>
        <stp>WBS 1!-ICE</stp>
        <stp>Last</stp>
        <stp>D</stp>
        <stp>44538.25</stp>
        <tr r="H55" s="21"/>
      </tp>
      <tp>
        <v>71.56</v>
        <stp/>
        <stp>*H</stp>
        <stp>WBS 1!-ICE</stp>
        <stp>Last</stp>
        <stp>D</stp>
        <stp>44537.25</stp>
        <tr r="H56" s="21"/>
      </tp>
      <tp>
        <v>69.069999999999993</v>
        <stp/>
        <stp>*H</stp>
        <stp>WBS 1!-ICE</stp>
        <stp>Last</stp>
        <stp>D</stp>
        <stp>44536.25</stp>
        <tr r="H57" s="21"/>
      </tp>
      <tp>
        <v>65.11</v>
        <stp/>
        <stp>*H</stp>
        <stp>WBS 1!-ICE</stp>
        <stp>Last</stp>
        <stp>D</stp>
        <stp>44531.25</stp>
        <tr r="H60" s="21"/>
      </tp>
      <tp>
        <v>65.489999999999995</v>
        <stp/>
        <stp>*H</stp>
        <stp>WBS 1!-ICE</stp>
        <stp>Last</stp>
        <stp>D</stp>
        <stp>44530.25</stp>
        <tr r="H61" s="21"/>
      </tp>
      <tp>
        <v>65.930000000000007</v>
        <stp/>
        <stp>*H</stp>
        <stp>WBS 1!-ICE</stp>
        <stp>Last</stp>
        <stp>D</stp>
        <stp>44533.25</stp>
        <tr r="H58" s="21"/>
      </tp>
      <tp>
        <v>66.03</v>
        <stp/>
        <stp>*H</stp>
        <stp>WBS 1!-ICE</stp>
        <stp>Last</stp>
        <stp>D</stp>
        <stp>44532.25</stp>
        <tr r="H59" s="21"/>
      </tp>
      <tp>
        <v>69.28</v>
        <stp/>
        <stp>*H</stp>
        <stp>WBS 1!-ICE</stp>
        <stp>Last</stp>
        <stp>D</stp>
        <stp>44529.25</stp>
        <tr r="H62" s="21"/>
      </tp>
      <tp>
        <v>76.91</v>
        <stp/>
        <stp>*H</stp>
        <stp>WBS 1!-ICE</stp>
        <stp>Last</stp>
        <stp>D</stp>
        <stp>44525.25</stp>
        <tr r="H64" s="21"/>
      </tp>
      <tp>
        <v>77.150000000000006</v>
        <stp/>
        <stp>*H</stp>
        <stp>WBS 1!-ICE</stp>
        <stp>Last</stp>
        <stp>D</stp>
        <stp>44524.25</stp>
        <tr r="H65" s="21"/>
      </tp>
      <tp>
        <v>67.48</v>
        <stp/>
        <stp>*H</stp>
        <stp>WBS 1!-ICE</stp>
        <stp>Last</stp>
        <stp>D</stp>
        <stp>44526.25</stp>
        <tr r="H63" s="21"/>
      </tp>
      <tp>
        <v>77.27</v>
        <stp/>
        <stp>*H</stp>
        <stp>WBS 1!-ICE</stp>
        <stp>Last</stp>
        <stp>D</stp>
        <stp>44523.25</stp>
        <tr r="H66" s="21"/>
      </tp>
      <tp>
        <v>75.39</v>
        <stp/>
        <stp>*H</stp>
        <stp>WBS 1!-ICE</stp>
        <stp>Last</stp>
        <stp>D</stp>
        <stp>44522.25</stp>
        <tr r="H67" s="21"/>
      </tp>
      <tp>
        <v>74.42</v>
        <stp/>
        <stp>*H</stp>
        <stp>WBS 1!-ICE</stp>
        <stp>Last</stp>
        <stp>D</stp>
        <stp>44519.25</stp>
        <tr r="H68" s="21"/>
      </tp>
      <tp>
        <v>84.83</v>
        <stp/>
        <stp>*H</stp>
        <stp>WBS 1!-ICE</stp>
        <stp>Last</stp>
        <stp>D</stp>
        <stp>44579.25</stp>
        <tr r="H26" s="21"/>
      </tp>
      <tp>
        <v>83.74</v>
        <stp/>
        <stp>*H</stp>
        <stp>WBS 1!-ICE</stp>
        <stp>Last</stp>
        <stp>D</stp>
        <stp>44578.25</stp>
        <tr r="H27" s="21"/>
      </tp>
      <tp>
        <v>83.3</v>
        <stp/>
        <stp>*H</stp>
        <stp>WBS 1!-ICE</stp>
        <stp>Last</stp>
        <stp>D</stp>
        <stp>44575.25</stp>
        <tr r="H28" s="21"/>
      </tp>
      <tp>
        <v>81.62</v>
        <stp/>
        <stp>*H</stp>
        <stp>WBS 1!-ICE</stp>
        <stp>Last</stp>
        <stp>D</stp>
        <stp>44574.25</stp>
        <tr r="H29" s="21"/>
      </tp>
      <tp>
        <v>77.7</v>
        <stp/>
        <stp>*H</stp>
        <stp>WBS 1!-ICE</stp>
        <stp>Last</stp>
        <stp>D</stp>
        <stp>44571.25</stp>
        <tr r="H32" s="21"/>
      </tp>
      <tp>
        <v>82.02</v>
        <stp/>
        <stp>*H</stp>
        <stp>WBS 1!-ICE</stp>
        <stp>Last</stp>
        <stp>D</stp>
        <stp>44573.25</stp>
        <tr r="H30" s="21"/>
      </tp>
      <tp>
        <v>80.67</v>
        <stp/>
        <stp>*H</stp>
        <stp>WBS 1!-ICE</stp>
        <stp>Last</stp>
        <stp>D</stp>
        <stp>44572.25</stp>
        <tr r="H31" s="21"/>
      </tp>
      <tp>
        <v>78.44</v>
        <stp/>
        <stp>*H</stp>
        <stp>WBS 1!-ICE</stp>
        <stp>Last</stp>
        <stp>D</stp>
        <stp>44568.25</stp>
        <tr r="H33" s="21"/>
      </tp>
      <tp>
        <v>76.739999999999995</v>
        <stp/>
        <stp>*H</stp>
        <stp>WBS 1!-ICE</stp>
        <stp>Last</stp>
        <stp>D</stp>
        <stp>44565.25</stp>
        <tr r="H36" s="21"/>
      </tp>
      <tp>
        <v>75.849999999999994</v>
        <stp/>
        <stp>*H</stp>
        <stp>WBS 1!-ICE</stp>
        <stp>Last</stp>
        <stp>D</stp>
        <stp>44564.25</stp>
        <tr r="H37" s="21"/>
      </tp>
      <tp>
        <v>78.88</v>
        <stp/>
        <stp>*H</stp>
        <stp>WBS 1!-ICE</stp>
        <stp>Last</stp>
        <stp>D</stp>
        <stp>44567.25</stp>
        <tr r="H34" s="21"/>
      </tp>
      <tp>
        <v>77.47</v>
        <stp/>
        <stp>*H</stp>
        <stp>WBS 1!-ICE</stp>
        <stp>Last</stp>
        <stp>D</stp>
        <stp>44566.25</stp>
        <tr r="H35" s="21"/>
      </tp>
      <tp>
        <v>74.88</v>
        <stp/>
        <stp>*H</stp>
        <stp>WBS 1!-ICE</stp>
        <stp>Last</stp>
        <stp>D</stp>
        <stp>44561.25</stp>
        <tr r="H38" s="21"/>
      </tp>
      <tp>
        <v>76.61</v>
        <stp/>
        <stp>*H</stp>
        <stp>WBS 1!-ICE</stp>
        <stp>Last</stp>
        <stp>D</stp>
        <stp>44560.25</stp>
        <tr r="H39" s="21"/>
      </tp>
      <tp>
        <v>76.180000000000007</v>
        <stp/>
        <stp>*H</stp>
        <stp>WBS 1!-ICE</stp>
        <stp>Last</stp>
        <stp>D</stp>
        <stp>44559.25</stp>
        <tr r="H40" s="21"/>
      </tp>
      <tp>
        <v>75.599999999999994</v>
        <stp/>
        <stp>*H</stp>
        <stp>WBS 1!-ICE</stp>
        <stp>Last</stp>
        <stp>D</stp>
        <stp>44558.25</stp>
        <tr r="H41" s="21"/>
      </tp>
      <tp>
        <v>72.69</v>
        <stp/>
        <stp>*H</stp>
        <stp>WBS 1!-ICE</stp>
        <stp>Last</stp>
        <stp>D</stp>
        <stp>44554.25</stp>
        <tr r="H43" s="21"/>
      </tp>
      <tp>
        <v>75.180000000000007</v>
        <stp/>
        <stp>*H</stp>
        <stp>WBS 1!-ICE</stp>
        <stp>Last</stp>
        <stp>D</stp>
        <stp>44557.25</stp>
        <tr r="H42" s="21"/>
      </tp>
      <tp>
        <v>70.819999999999993</v>
        <stp/>
        <stp>*H</stp>
        <stp>WBS 1!-ICE</stp>
        <stp>Last</stp>
        <stp>D</stp>
        <stp>44551.25</stp>
        <tr r="H46" s="21"/>
      </tp>
      <tp>
        <v>68.36</v>
        <stp/>
        <stp>*H</stp>
        <stp>WBS 1!-ICE</stp>
        <stp>Last</stp>
        <stp>D</stp>
        <stp>44550.25</stp>
        <tr r="H47" s="21"/>
      </tp>
      <tp>
        <v>73.42</v>
        <stp/>
        <stp>*H</stp>
        <stp>WBS 1!-ICE</stp>
        <stp>Last</stp>
        <stp>D</stp>
        <stp>44553.25</stp>
        <tr r="H44" s="21"/>
      </tp>
      <tp>
        <v>72.33</v>
        <stp/>
        <stp>*H</stp>
        <stp>WBS 1!-ICE</stp>
        <stp>Last</stp>
        <stp>D</stp>
        <stp>44552.25</stp>
        <tr r="H45" s="21"/>
      </tp>
      <tp>
        <v>70.36</v>
        <stp/>
        <stp>*H</stp>
        <stp>WBS 1!-ICE</stp>
        <stp>Last</stp>
        <stp>D</stp>
        <stp>44545.25</stp>
        <tr r="H50" s="21"/>
      </tp>
      <tp>
        <v>70.260000000000005</v>
        <stp/>
        <stp>*H</stp>
        <stp>WBS 1!-ICE</stp>
        <stp>Last</stp>
        <stp>D</stp>
        <stp>44544.25</stp>
        <tr r="H51" s="21"/>
      </tp>
      <tp>
        <v>70.349999999999994</v>
        <stp/>
        <stp>*H</stp>
        <stp>WBS 1!-ICE</stp>
        <stp>Last</stp>
        <stp>D</stp>
        <stp>44547.25</stp>
        <tr r="H48" s="21"/>
      </tp>
      <tp>
        <v>71.75</v>
        <stp/>
        <stp>*H</stp>
        <stp>WBS 1!-ICE</stp>
        <stp>Last</stp>
        <stp>D</stp>
        <stp>44546.25</stp>
        <tr r="H49" s="21"/>
      </tp>
      <tp>
        <v>71.22</v>
        <stp/>
        <stp>*H</stp>
        <stp>WBS 1!-ICE</stp>
        <stp>Last</stp>
        <stp>D</stp>
        <stp>44540.25</stp>
        <tr r="H53" s="21"/>
      </tp>
      <tp>
        <v>70.8</v>
        <stp/>
        <stp>*H</stp>
        <stp>WBS 1!-ICE</stp>
        <stp>Last</stp>
        <stp>D</stp>
        <stp>44543.25</stp>
        <tr r="H52" s="21"/>
      </tp>
      <tp>
        <v>86.61</v>
        <stp/>
        <stp>*H</stp>
        <stp>WBS 1!-ICE</stp>
        <stp>Last</stp>
        <stp>D</stp>
        <stp>44588.25</stp>
        <tr r="H19" s="21"/>
      </tp>
      <tp>
        <v>83.31</v>
        <stp/>
        <stp>*H</stp>
        <stp>WBS 1!-ICE</stp>
        <stp>Last</stp>
        <stp>D</stp>
        <stp>44585.25</stp>
        <tr r="H22" s="21"/>
      </tp>
      <tp>
        <v>87.35</v>
        <stp/>
        <stp>*H</stp>
        <stp>WBS 1!-ICE</stp>
        <stp>Last</stp>
        <stp>D</stp>
        <stp>44587.25</stp>
        <tr r="H20" s="21"/>
      </tp>
      <tp>
        <v>85.6</v>
        <stp/>
        <stp>*H</stp>
        <stp>WBS 1!-ICE</stp>
        <stp>Last</stp>
        <stp>D</stp>
        <stp>44586.25</stp>
        <tr r="H21" s="21"/>
      </tp>
      <tp>
        <v>85.55</v>
        <stp/>
        <stp>*H</stp>
        <stp>WBS 1!-ICE</stp>
        <stp>Last</stp>
        <stp>D</stp>
        <stp>44581.25</stp>
        <tr r="H24" s="21"/>
      </tp>
      <tp>
        <v>85.8</v>
        <stp/>
        <stp>*H</stp>
        <stp>WBS 1!-ICE</stp>
        <stp>Last</stp>
        <stp>D</stp>
        <stp>44580.25</stp>
        <tr r="H25" s="21"/>
      </tp>
      <tp>
        <v>85.14</v>
        <stp/>
        <stp>*H</stp>
        <stp>WBS 1!-ICE</stp>
        <stp>Last</stp>
        <stp>D</stp>
        <stp>44582.25</stp>
        <tr r="H23" s="21"/>
      </tp>
    </main>
    <main first="fsxl">
      <tp>
        <v>89.9</v>
        <stp/>
        <stp>BRN 1!-ICE</stp>
        <stp>Ask</stp>
        <tr r="J18" s="19"/>
        <tr r="J8" s="19"/>
        <tr r="J23" s="19"/>
        <tr r="J13" s="19"/>
      </tp>
      <tp>
        <v>801.75</v>
        <stp/>
        <stp>GAS 1!-ICE</stp>
        <stp>Ask</stp>
        <tr r="J9" s="19"/>
      </tp>
    </main>
    <main first="fsxl">
      <tp>
        <v>89.89</v>
        <stp/>
        <stp>BRN 1!-ICE</stp>
        <stp>Bid</stp>
        <tr r="I13" s="19"/>
        <tr r="I8" s="19"/>
        <tr r="I18" s="19"/>
        <tr r="I23" s="19"/>
      </tp>
      <tp>
        <v>801</v>
        <stp/>
        <stp>GAS 1!-ICE</stp>
        <stp>Bid</stp>
        <tr r="I9" s="19"/>
      </tp>
    </main>
    <main first="ice.xl">
      <tp>
        <v>73.06</v>
        <stp/>
        <stp>*H</stp>
        <stp>WBS 1!-ICE</stp>
        <stp>Open</stp>
        <stp>D</stp>
        <stp>44557.25</stp>
        <tr r="J42" s="21"/>
      </tp>
      <tp>
        <v>72.95</v>
        <stp/>
        <stp>*H</stp>
        <stp>WBS 1!-ICE</stp>
        <stp>Open</stp>
        <stp>D</stp>
        <stp>44554.25</stp>
        <tr r="J43" s="21"/>
      </tp>
      <tp>
        <v>72.540000000000006</v>
        <stp/>
        <stp>*H</stp>
        <stp>WBS 1!-ICE</stp>
        <stp>Open</stp>
        <stp>D</stp>
        <stp>44553.25</stp>
        <tr r="J44" s="21"/>
      </tp>
      <tp>
        <v>71</v>
        <stp/>
        <stp>*H</stp>
        <stp>WBS 1!-ICE</stp>
        <stp>Open</stp>
        <stp>D</stp>
        <stp>44552.25</stp>
        <tr r="J45" s="21"/>
      </tp>
      <tp>
        <v>68.8</v>
        <stp/>
        <stp>*H</stp>
        <stp>WBS 1!-ICE</stp>
        <stp>Open</stp>
        <stp>D</stp>
        <stp>44551.25</stp>
        <tr r="J46" s="21"/>
      </tp>
      <tp>
        <v>69.540000000000006</v>
        <stp/>
        <stp>*H</stp>
        <stp>WBS 1!-ICE</stp>
        <stp>Open</stp>
        <stp>D</stp>
        <stp>44550.25</stp>
        <tr r="J47" s="21"/>
      </tp>
      <tp>
        <v>75.900000000000006</v>
        <stp/>
        <stp>*H</stp>
        <stp>WBS 1!-ICE</stp>
        <stp>Open</stp>
        <stp>D</stp>
        <stp>44559.25</stp>
        <tr r="J40" s="21"/>
      </tp>
      <tp>
        <v>75.34</v>
        <stp/>
        <stp>*H</stp>
        <stp>WBS 1!-ICE</stp>
        <stp>Open</stp>
        <stp>D</stp>
        <stp>44558.25</stp>
        <tr r="J41" s="21"/>
      </tp>
      <tp>
        <v>71.349999999999994</v>
        <stp/>
        <stp>*H</stp>
        <stp>WBS 1!-ICE</stp>
        <stp>Open</stp>
        <stp>D</stp>
        <stp>44547.25</stp>
        <tr r="J48" s="21"/>
      </tp>
      <tp>
        <v>71.3</v>
        <stp/>
        <stp>*H</stp>
        <stp>WBS 1!-ICE</stp>
        <stp>Open</stp>
        <stp>D</stp>
        <stp>44546.25</stp>
        <tr r="J49" s="21"/>
      </tp>
      <tp>
        <v>69.52</v>
        <stp/>
        <stp>*H</stp>
        <stp>WBS 1!-ICE</stp>
        <stp>Open</stp>
        <stp>D</stp>
        <stp>44545.25</stp>
        <tr r="J50" s="21"/>
      </tp>
      <tp>
        <v>70.900000000000006</v>
        <stp/>
        <stp>*H</stp>
        <stp>WBS 1!-ICE</stp>
        <stp>Open</stp>
        <stp>D</stp>
        <stp>44544.25</stp>
        <tr r="J51" s="21"/>
      </tp>
      <tp>
        <v>72.25</v>
        <stp/>
        <stp>*H</stp>
        <stp>WBS 1!-ICE</stp>
        <stp>Open</stp>
        <stp>D</stp>
        <stp>44543.25</stp>
        <tr r="J52" s="21"/>
      </tp>
      <tp>
        <v>69.98</v>
        <stp/>
        <stp>*H</stp>
        <stp>WBS 1!-ICE</stp>
        <stp>Open</stp>
        <stp>D</stp>
        <stp>44540.25</stp>
        <tr r="J53" s="21"/>
      </tp>
      <tp>
        <v>81.239999999999995</v>
        <stp/>
        <stp>*H</stp>
        <stp>WBS 1!-ICE</stp>
        <stp>Open</stp>
        <stp>D</stp>
        <stp>44575.25</stp>
        <tr r="J28" s="21"/>
      </tp>
      <tp>
        <v>82.2</v>
        <stp/>
        <stp>*H</stp>
        <stp>WBS 1!-ICE</stp>
        <stp>Open</stp>
        <stp>D</stp>
        <stp>44574.25</stp>
        <tr r="J29" s="21"/>
      </tp>
      <tp>
        <v>80.8</v>
        <stp/>
        <stp>*H</stp>
        <stp>WBS 1!-ICE</stp>
        <stp>Open</stp>
        <stp>D</stp>
        <stp>44573.25</stp>
        <tr r="J30" s="21"/>
      </tp>
      <tp>
        <v>78.12</v>
        <stp/>
        <stp>*H</stp>
        <stp>WBS 1!-ICE</stp>
        <stp>Open</stp>
        <stp>D</stp>
        <stp>44572.25</stp>
        <tr r="J31" s="21"/>
      </tp>
      <tp>
        <v>78.48</v>
        <stp/>
        <stp>*H</stp>
        <stp>WBS 1!-ICE</stp>
        <stp>Open</stp>
        <stp>D</stp>
        <stp>44571.25</stp>
        <tr r="J32" s="21"/>
      </tp>
      <tp>
        <v>83.67</v>
        <stp/>
        <stp>*H</stp>
        <stp>WBS 1!-ICE</stp>
        <stp>Open</stp>
        <stp>D</stp>
        <stp>44579.25</stp>
        <tr r="J26" s="21"/>
      </tp>
      <tp>
        <v>83.65</v>
        <stp/>
        <stp>*H</stp>
        <stp>WBS 1!-ICE</stp>
        <stp>Open</stp>
        <stp>D</stp>
        <stp>44578.25</stp>
        <tr r="J27" s="21"/>
      </tp>
      <tp>
        <v>76.819999999999993</v>
        <stp/>
        <stp>*H</stp>
        <stp>WBS 1!-ICE</stp>
        <stp>Open</stp>
        <stp>D</stp>
        <stp>44567.25</stp>
        <tr r="J34" s="21"/>
      </tp>
      <tp>
        <v>76.84</v>
        <stp/>
        <stp>*H</stp>
        <stp>WBS 1!-ICE</stp>
        <stp>Open</stp>
        <stp>D</stp>
        <stp>44566.25</stp>
        <tr r="J35" s="21"/>
      </tp>
      <tp>
        <v>75.760000000000005</v>
        <stp/>
        <stp>*H</stp>
        <stp>WBS 1!-ICE</stp>
        <stp>Open</stp>
        <stp>D</stp>
        <stp>44565.25</stp>
        <tr r="J36" s="21"/>
      </tp>
      <tp>
        <v>75.23</v>
        <stp/>
        <stp>*H</stp>
        <stp>WBS 1!-ICE</stp>
        <stp>Open</stp>
        <stp>D</stp>
        <stp>44564.25</stp>
        <tr r="J37" s="21"/>
      </tp>
      <tp>
        <v>75.900000000000006</v>
        <stp/>
        <stp>*H</stp>
        <stp>WBS 1!-ICE</stp>
        <stp>Open</stp>
        <stp>D</stp>
        <stp>44561.25</stp>
        <tr r="J38" s="21"/>
      </tp>
      <tp>
        <v>76.13</v>
        <stp/>
        <stp>*H</stp>
        <stp>WBS 1!-ICE</stp>
        <stp>Open</stp>
        <stp>D</stp>
        <stp>44560.25</stp>
        <tr r="J39" s="21"/>
      </tp>
      <tp>
        <v>78.95</v>
        <stp/>
        <stp>*H</stp>
        <stp>WBS 1!-ICE</stp>
        <stp>Open</stp>
        <stp>D</stp>
        <stp>44568.25</stp>
        <tr r="J33" s="21"/>
      </tp>
      <tp>
        <v>77.44</v>
        <stp/>
        <stp>*H</stp>
        <stp>WBS 1!-ICE</stp>
        <stp>Open</stp>
        <stp>D</stp>
        <stp>44519.25</stp>
        <tr r="J68" s="21"/>
      </tp>
      <tp>
        <v>69.47</v>
        <stp/>
        <stp>*H</stp>
        <stp>WBS 1!-ICE</stp>
        <stp>Open</stp>
        <stp>D</stp>
        <stp>44537.25</stp>
        <tr r="J56" s="21"/>
      </tp>
      <tp>
        <v>66.8</v>
        <stp/>
        <stp>*H</stp>
        <stp>WBS 1!-ICE</stp>
        <stp>Open</stp>
        <stp>D</stp>
        <stp>44536.25</stp>
        <tr r="J57" s="21"/>
      </tp>
      <tp>
        <v>66.319999999999993</v>
        <stp/>
        <stp>*H</stp>
        <stp>WBS 1!-ICE</stp>
        <stp>Open</stp>
        <stp>D</stp>
        <stp>44533.25</stp>
        <tr r="J58" s="21"/>
      </tp>
      <tp>
        <v>65.900000000000006</v>
        <stp/>
        <stp>*H</stp>
        <stp>WBS 1!-ICE</stp>
        <stp>Open</stp>
        <stp>D</stp>
        <stp>44532.25</stp>
        <tr r="J59" s="21"/>
      </tp>
      <tp>
        <v>66.23</v>
        <stp/>
        <stp>*H</stp>
        <stp>WBS 1!-ICE</stp>
        <stp>Open</stp>
        <stp>D</stp>
        <stp>44531.25</stp>
        <tr r="J60" s="21"/>
      </tp>
      <tp>
        <v>70.2</v>
        <stp/>
        <stp>*H</stp>
        <stp>WBS 1!-ICE</stp>
        <stp>Open</stp>
        <stp>D</stp>
        <stp>44530.25</stp>
        <tr r="J61" s="21"/>
      </tp>
      <tp>
        <v>72.3</v>
        <stp/>
        <stp>*H</stp>
        <stp>WBS 1!-ICE</stp>
        <stp>Open</stp>
        <stp>D</stp>
        <stp>44539.25</stp>
        <tr r="J54" s="21"/>
      </tp>
      <tp>
        <v>71.38</v>
        <stp/>
        <stp>*H</stp>
        <stp>WBS 1!-ICE</stp>
        <stp>Open</stp>
        <stp>D</stp>
        <stp>44538.25</stp>
        <tr r="J55" s="21"/>
      </tp>
      <tp>
        <v>76.099999999999994</v>
        <stp/>
        <stp>*H</stp>
        <stp>WBS 1!-ICE</stp>
        <stp>Open</stp>
        <stp>D</stp>
        <stp>44526.25</stp>
        <tr r="J63" s="21"/>
      </tp>
      <tp>
        <v>77.2</v>
        <stp/>
        <stp>*H</stp>
        <stp>WBS 1!-ICE</stp>
        <stp>Open</stp>
        <stp>D</stp>
        <stp>44525.25</stp>
        <tr r="J64" s="21"/>
      </tp>
      <tp>
        <v>77.010000000000005</v>
        <stp/>
        <stp>*H</stp>
        <stp>WBS 1!-ICE</stp>
        <stp>Open</stp>
        <stp>D</stp>
        <stp>44524.25</stp>
        <tr r="J65" s="21"/>
      </tp>
      <tp>
        <v>74.64</v>
        <stp/>
        <stp>*H</stp>
        <stp>WBS 1!-ICE</stp>
        <stp>Open</stp>
        <stp>D</stp>
        <stp>44523.25</stp>
        <tr r="J66" s="21"/>
      </tp>
      <tp>
        <v>73.680000000000007</v>
        <stp/>
        <stp>*H</stp>
        <stp>WBS 1!-ICE</stp>
        <stp>Open</stp>
        <stp>D</stp>
        <stp>44522.25</stp>
        <tr r="J67" s="21"/>
      </tp>
      <tp>
        <v>70.28</v>
        <stp/>
        <stp>*H</stp>
        <stp>WBS 1!-ICE</stp>
        <stp>Open</stp>
        <stp>D</stp>
        <stp>44529.25</stp>
        <tr r="J62" s="21"/>
      </tp>
      <tp>
        <v>85.22</v>
        <stp/>
        <stp>*H</stp>
        <stp>WBS 1!-ICE</stp>
        <stp>Open</stp>
        <stp>D</stp>
        <stp>44587.25</stp>
        <tr r="J20" s="21"/>
      </tp>
      <tp>
        <v>83.58</v>
        <stp/>
        <stp>*H</stp>
        <stp>WBS 1!-ICE</stp>
        <stp>Open</stp>
        <stp>D</stp>
        <stp>44586.25</stp>
        <tr r="J21" s="21"/>
      </tp>
      <tp>
        <v>84.99</v>
        <stp/>
        <stp>*H</stp>
        <stp>WBS 1!-ICE</stp>
        <stp>Open</stp>
        <stp>D</stp>
        <stp>44585.25</stp>
        <tr r="J22" s="21"/>
      </tp>
      <tp>
        <v>83.78</v>
        <stp/>
        <stp>*H</stp>
        <stp>WBS 1!-ICE</stp>
        <stp>Open</stp>
        <stp>D</stp>
        <stp>44582.25</stp>
        <tr r="J23" s="21"/>
      </tp>
      <tp>
        <v>85.25</v>
        <stp/>
        <stp>*H</stp>
        <stp>WBS 1!-ICE</stp>
        <stp>Open</stp>
        <stp>D</stp>
        <stp>44581.25</stp>
        <tr r="J24" s="21"/>
      </tp>
      <tp>
        <v>86.07</v>
        <stp/>
        <stp>*H</stp>
        <stp>WBS 1!-ICE</stp>
        <stp>Open</stp>
        <stp>D</stp>
        <stp>44580.25</stp>
        <tr r="J25" s="21"/>
      </tp>
      <tp>
        <v>87.17</v>
        <stp/>
        <stp>*H</stp>
        <stp>WBS 1!-ICE</stp>
        <stp>Open</stp>
        <stp>D</stp>
        <stp>44588.25</stp>
        <tr r="J19" s="21"/>
      </tp>
    </main>
    <main first="fsxl">
      <tp>
        <v>601.75</v>
        <stp/>
        <stp>*H</stp>
        <stp>GAS 1!-ICE</stp>
        <stp>Last</stp>
        <stp>D</stp>
        <stp>44532</stp>
        <tr r="T9" s="19"/>
      </tp>
      <tp>
        <v>677</v>
        <stp/>
        <stp>*H</stp>
        <stp>GAS 1!-ICE</stp>
        <stp>Last</stp>
        <stp>D</stp>
        <stp>44560</stp>
        <tr r="S9" s="19"/>
      </tp>
      <tp>
        <v>789.75</v>
        <stp/>
        <stp>*H</stp>
        <stp>GAS 1!-ICE</stp>
        <stp>Last</stp>
        <stp>D</stp>
        <stp>44588</stp>
        <tr r="R9" s="19"/>
      </tp>
    </main>
    <main first="ice.xl">
      <tp>
        <v>343</v>
        <stp/>
        <stp>*Q</stp>
        <stp>O:IBM 22M128.00D28</stp>
        <stp>Volume</stp>
        <tr r="Z31" s="24"/>
      </tp>
      <tp>
        <v>20</v>
        <stp/>
        <stp>*Q</stp>
        <stp>O:IBM 22A128.00D28</stp>
        <stp>Volume</stp>
        <tr r="O31" s="24"/>
      </tp>
      <tp>
        <v>160</v>
        <stp/>
        <stp>*Q</stp>
        <stp>O:IBM 22M129.00D28</stp>
        <stp>Volume</stp>
        <tr r="Z32" s="24"/>
      </tp>
      <tp>
        <v>89</v>
        <stp/>
        <stp>*Q</stp>
        <stp>O:IBM 22A129.00D28</stp>
        <stp>Volume</stp>
        <tr r="O32" s="24"/>
      </tp>
    </main>
    <main first="fsxl">
      <tp>
        <v>5.1999999999999998E-3</v>
        <stp/>
        <stp>UHO 7!:8!-ICE</stp>
        <stp>Open</stp>
        <tr r="I13" s="20"/>
      </tp>
    </main>
    <main first="ice.xl">
      <tp>
        <v>78.91</v>
        <stp/>
        <stp>*H</stp>
        <stp>WBS 1!-ICE</stp>
        <stp>High</stp>
        <stp>D</stp>
        <stp>44571.25</stp>
        <tr r="I32" s="21"/>
      </tp>
      <tp>
        <v>82.41</v>
        <stp/>
        <stp>*H</stp>
        <stp>WBS 1!-ICE</stp>
        <stp>High</stp>
        <stp>D</stp>
        <stp>44573.25</stp>
        <tr r="I30" s="21"/>
      </tp>
      <tp>
        <v>80.94</v>
        <stp/>
        <stp>*H</stp>
        <stp>WBS 1!-ICE</stp>
        <stp>High</stp>
        <stp>D</stp>
        <stp>44572.25</stp>
        <tr r="I31" s="21"/>
      </tp>
      <tp>
        <v>83.75</v>
        <stp/>
        <stp>*H</stp>
        <stp>WBS 1!-ICE</stp>
        <stp>High</stp>
        <stp>D</stp>
        <stp>44575.25</stp>
        <tr r="I28" s="21"/>
      </tp>
      <tp>
        <v>82.3</v>
        <stp/>
        <stp>*H</stp>
        <stp>WBS 1!-ICE</stp>
        <stp>High</stp>
        <stp>D</stp>
        <stp>44574.25</stp>
        <tr r="I29" s="21"/>
      </tp>
      <tp>
        <v>86.02</v>
        <stp/>
        <stp>*H</stp>
        <stp>WBS 1!-ICE</stp>
        <stp>High</stp>
        <stp>D</stp>
        <stp>44579.25</stp>
        <tr r="I26" s="21"/>
      </tp>
      <tp>
        <v>84.05</v>
        <stp/>
        <stp>*H</stp>
        <stp>WBS 1!-ICE</stp>
        <stp>High</stp>
        <stp>D</stp>
        <stp>44578.25</stp>
        <tr r="I27" s="21"/>
      </tp>
      <tp>
        <v>76.63</v>
        <stp/>
        <stp>*H</stp>
        <stp>WBS 1!-ICE</stp>
        <stp>High</stp>
        <stp>D</stp>
        <stp>44561.25</stp>
        <tr r="I38" s="21"/>
      </tp>
      <tp>
        <v>77.05</v>
        <stp/>
        <stp>*H</stp>
        <stp>WBS 1!-ICE</stp>
        <stp>High</stp>
        <stp>D</stp>
        <stp>44560.25</stp>
        <tr r="I39" s="21"/>
      </tp>
      <tp>
        <v>77.39</v>
        <stp/>
        <stp>*H</stp>
        <stp>WBS 1!-ICE</stp>
        <stp>High</stp>
        <stp>D</stp>
        <stp>44565.25</stp>
        <tr r="I36" s="21"/>
      </tp>
      <tp>
        <v>76.19</v>
        <stp/>
        <stp>*H</stp>
        <stp>WBS 1!-ICE</stp>
        <stp>High</stp>
        <stp>D</stp>
        <stp>44564.25</stp>
        <tr r="I37" s="21"/>
      </tp>
      <tp>
        <v>79.56</v>
        <stp/>
        <stp>*H</stp>
        <stp>WBS 1!-ICE</stp>
        <stp>High</stp>
        <stp>D</stp>
        <stp>44567.25</stp>
        <tr r="I34" s="21"/>
      </tp>
      <tp>
        <v>78.16</v>
        <stp/>
        <stp>*H</stp>
        <stp>WBS 1!-ICE</stp>
        <stp>High</stp>
        <stp>D</stp>
        <stp>44566.25</stp>
        <tr r="I35" s="21"/>
      </tp>
      <tp>
        <v>79.83</v>
        <stp/>
        <stp>*H</stp>
        <stp>WBS 1!-ICE</stp>
        <stp>High</stp>
        <stp>D</stp>
        <stp>44568.25</stp>
        <tr r="I33" s="21"/>
      </tp>
      <tp>
        <v>71.19</v>
        <stp/>
        <stp>*H</stp>
        <stp>WBS 1!-ICE</stp>
        <stp>High</stp>
        <stp>D</stp>
        <stp>44551.25</stp>
        <tr r="I46" s="21"/>
      </tp>
      <tp>
        <v>69.540000000000006</v>
        <stp/>
        <stp>*H</stp>
        <stp>WBS 1!-ICE</stp>
        <stp>High</stp>
        <stp>D</stp>
        <stp>44550.25</stp>
        <tr r="I47" s="21"/>
      </tp>
      <tp>
        <v>73.599999999999994</v>
        <stp/>
        <stp>*H</stp>
        <stp>WBS 1!-ICE</stp>
        <stp>High</stp>
        <stp>D</stp>
        <stp>44553.25</stp>
        <tr r="I44" s="21"/>
      </tp>
      <tp>
        <v>72.62</v>
        <stp/>
        <stp>*H</stp>
        <stp>WBS 1!-ICE</stp>
        <stp>High</stp>
        <stp>D</stp>
        <stp>44552.25</stp>
        <tr r="I45" s="21"/>
      </tp>
      <tp>
        <v>73.12</v>
        <stp/>
        <stp>*H</stp>
        <stp>WBS 1!-ICE</stp>
        <stp>High</stp>
        <stp>D</stp>
        <stp>44554.25</stp>
        <tr r="I43" s="21"/>
      </tp>
      <tp>
        <v>75.63</v>
        <stp/>
        <stp>*H</stp>
        <stp>WBS 1!-ICE</stp>
        <stp>High</stp>
        <stp>D</stp>
        <stp>44557.25</stp>
        <tr r="I42" s="21"/>
      </tp>
      <tp>
        <v>76.98</v>
        <stp/>
        <stp>*H</stp>
        <stp>WBS 1!-ICE</stp>
        <stp>High</stp>
        <stp>D</stp>
        <stp>44559.25</stp>
        <tr r="I40" s="21"/>
      </tp>
      <tp>
        <v>76.489999999999995</v>
        <stp/>
        <stp>*H</stp>
        <stp>WBS 1!-ICE</stp>
        <stp>High</stp>
        <stp>D</stp>
        <stp>44558.25</stp>
        <tr r="I41" s="21"/>
      </tp>
      <tp>
        <v>71.83</v>
        <stp/>
        <stp>*H</stp>
        <stp>WBS 1!-ICE</stp>
        <stp>High</stp>
        <stp>D</stp>
        <stp>44540.25</stp>
        <tr r="I53" s="21"/>
      </tp>
      <tp>
        <v>72.47</v>
        <stp/>
        <stp>*H</stp>
        <stp>WBS 1!-ICE</stp>
        <stp>High</stp>
        <stp>D</stp>
        <stp>44543.25</stp>
        <tr r="I52" s="21"/>
      </tp>
      <tp>
        <v>71.05</v>
        <stp/>
        <stp>*H</stp>
        <stp>WBS 1!-ICE</stp>
        <stp>High</stp>
        <stp>D</stp>
        <stp>44545.25</stp>
        <tr r="I50" s="21"/>
      </tp>
      <tp>
        <v>71.510000000000005</v>
        <stp/>
        <stp>*H</stp>
        <stp>WBS 1!-ICE</stp>
        <stp>High</stp>
        <stp>D</stp>
        <stp>44544.25</stp>
        <tr r="I51" s="21"/>
      </tp>
      <tp>
        <v>71.62</v>
        <stp/>
        <stp>*H</stp>
        <stp>WBS 1!-ICE</stp>
        <stp>High</stp>
        <stp>D</stp>
        <stp>44547.25</stp>
        <tr r="I48" s="21"/>
      </tp>
      <tp>
        <v>72.290000000000006</v>
        <stp/>
        <stp>*H</stp>
        <stp>WBS 1!-ICE</stp>
        <stp>High</stp>
        <stp>D</stp>
        <stp>44546.25</stp>
        <tr r="I49" s="21"/>
      </tp>
      <tp>
        <v>68.709999999999994</v>
        <stp/>
        <stp>*H</stp>
        <stp>WBS 1!-ICE</stp>
        <stp>High</stp>
        <stp>D</stp>
        <stp>44531.25</stp>
        <tr r="I60" s="21"/>
      </tp>
      <tp>
        <v>70.3</v>
        <stp/>
        <stp>*H</stp>
        <stp>WBS 1!-ICE</stp>
        <stp>High</stp>
        <stp>D</stp>
        <stp>44530.25</stp>
        <tr r="I61" s="21"/>
      </tp>
      <tp>
        <v>68.53</v>
        <stp/>
        <stp>*H</stp>
        <stp>WBS 1!-ICE</stp>
        <stp>High</stp>
        <stp>D</stp>
        <stp>44533.25</stp>
        <tr r="I58" s="21"/>
      </tp>
      <tp>
        <v>66.739999999999995</v>
        <stp/>
        <stp>*H</stp>
        <stp>WBS 1!-ICE</stp>
        <stp>High</stp>
        <stp>D</stp>
        <stp>44532.25</stp>
        <tr r="I59" s="21"/>
      </tp>
      <tp>
        <v>72.260000000000005</v>
        <stp/>
        <stp>*H</stp>
        <stp>WBS 1!-ICE</stp>
        <stp>High</stp>
        <stp>D</stp>
        <stp>44537.25</stp>
        <tr r="I56" s="21"/>
      </tp>
      <tp>
        <v>69.510000000000005</v>
        <stp/>
        <stp>*H</stp>
        <stp>WBS 1!-ICE</stp>
        <stp>High</stp>
        <stp>D</stp>
        <stp>44536.25</stp>
        <tr r="I57" s="21"/>
      </tp>
      <tp>
        <v>72.69</v>
        <stp/>
        <stp>*H</stp>
        <stp>WBS 1!-ICE</stp>
        <stp>High</stp>
        <stp>D</stp>
        <stp>44539.25</stp>
        <tr r="I54" s="21"/>
      </tp>
      <tp>
        <v>72.42</v>
        <stp/>
        <stp>*H</stp>
        <stp>WBS 1!-ICE</stp>
        <stp>High</stp>
        <stp>D</stp>
        <stp>44538.25</stp>
        <tr r="I55" s="21"/>
      </tp>
      <tp>
        <v>77.47</v>
        <stp/>
        <stp>*H</stp>
        <stp>WBS 1!-ICE</stp>
        <stp>High</stp>
        <stp>D</stp>
        <stp>44523.25</stp>
        <tr r="I66" s="21"/>
      </tp>
      <tp>
        <v>75.67</v>
        <stp/>
        <stp>*H</stp>
        <stp>WBS 1!-ICE</stp>
        <stp>High</stp>
        <stp>D</stp>
        <stp>44522.25</stp>
        <tr r="I67" s="21"/>
      </tp>
      <tp>
        <v>77.27</v>
        <stp/>
        <stp>*H</stp>
        <stp>WBS 1!-ICE</stp>
        <stp>High</stp>
        <stp>D</stp>
        <stp>44525.25</stp>
        <tr r="I64" s="21"/>
      </tp>
      <tp>
        <v>77.75</v>
        <stp/>
        <stp>*H</stp>
        <stp>WBS 1!-ICE</stp>
        <stp>High</stp>
        <stp>D</stp>
        <stp>44524.25</stp>
        <tr r="I65" s="21"/>
      </tp>
      <tp>
        <v>76.12</v>
        <stp/>
        <stp>*H</stp>
        <stp>WBS 1!-ICE</stp>
        <stp>High</stp>
        <stp>D</stp>
        <stp>44526.25</stp>
        <tr r="I63" s="21"/>
      </tp>
      <tp>
        <v>71.89</v>
        <stp/>
        <stp>*H</stp>
        <stp>WBS 1!-ICE</stp>
        <stp>High</stp>
        <stp>D</stp>
        <stp>44529.25</stp>
        <tr r="I62" s="21"/>
      </tp>
      <tp>
        <v>77.44</v>
        <stp/>
        <stp>*H</stp>
        <stp>WBS 1!-ICE</stp>
        <stp>High</stp>
        <stp>D</stp>
        <stp>44519.25</stp>
        <tr r="I68" s="21"/>
      </tp>
      <tp>
        <v>87.1</v>
        <stp/>
        <stp>*H</stp>
        <stp>WBS 1!-ICE</stp>
        <stp>High</stp>
        <stp>D</stp>
        <stp>44581.25</stp>
        <tr r="I24" s="21"/>
      </tp>
      <tp>
        <v>86.78</v>
        <stp/>
        <stp>*H</stp>
        <stp>WBS 1!-ICE</stp>
        <stp>High</stp>
        <stp>D</stp>
        <stp>44580.25</stp>
        <tr r="I25" s="21"/>
      </tp>
      <tp>
        <v>85.54</v>
        <stp/>
        <stp>*H</stp>
        <stp>WBS 1!-ICE</stp>
        <stp>High</stp>
        <stp>D</stp>
        <stp>44582.25</stp>
        <tr r="I23" s="21"/>
      </tp>
      <tp>
        <v>86.09</v>
        <stp/>
        <stp>*H</stp>
        <stp>WBS 1!-ICE</stp>
        <stp>High</stp>
        <stp>D</stp>
        <stp>44585.25</stp>
        <tr r="I22" s="21"/>
      </tp>
      <tp>
        <v>87.93</v>
        <stp/>
        <stp>*H</stp>
        <stp>WBS 1!-ICE</stp>
        <stp>High</stp>
        <stp>D</stp>
        <stp>44587.25</stp>
        <tr r="I20" s="21"/>
      </tp>
      <tp>
        <v>85.7</v>
        <stp/>
        <stp>*H</stp>
        <stp>WBS 1!-ICE</stp>
        <stp>High</stp>
        <stp>D</stp>
        <stp>44586.25</stp>
        <tr r="I21" s="21"/>
      </tp>
      <tp>
        <v>88.55</v>
        <stp/>
        <stp>*H</stp>
        <stp>WBS 1!-ICE</stp>
        <stp>High</stp>
        <stp>D</stp>
        <stp>44588.25</stp>
        <tr r="I19" s="21"/>
      </tp>
    </main>
    <main first="fsxl">
      <tp>
        <v>85.041052631578964</v>
        <stp/>
        <stp>*H</stp>
        <stp>BRN 1!-ICE</stp>
        <stp>Last</stp>
        <stp>MA</stp>
        <stp>44588.625</stp>
        <tr r="R23" s="19"/>
      </tp>
    </main>
    <main first="ice.xl">
      <tp>
        <v>1280</v>
        <stp/>
        <stp>*Q</stp>
        <stp>O:IBM 22M130.00D28</stp>
        <stp>Volume</stp>
        <tr r="Z33" s="24"/>
      </tp>
      <tp>
        <v>80</v>
        <stp/>
        <stp>*Q</stp>
        <stp>O:IBM 22A130.00D28</stp>
        <stp>Volume</stp>
        <tr r="O33" s="24"/>
      </tp>
      <tp>
        <v>408</v>
        <stp/>
        <stp>*Q</stp>
        <stp>O:IBM 22M131.00D28</stp>
        <stp>Volume</stp>
        <tr r="Z34" s="24"/>
      </tp>
      <tp>
        <v>79</v>
        <stp/>
        <stp>*Q</stp>
        <stp>O:IBM 22A131.00D28</stp>
        <stp>Volume</stp>
        <tr r="O34" s="24"/>
      </tp>
      <tp>
        <v>501</v>
        <stp/>
        <stp>*Q</stp>
        <stp>O:IBM 22M132.00D28</stp>
        <stp>Volume</stp>
        <tr r="Z35" s="24"/>
      </tp>
      <tp>
        <v>234</v>
        <stp/>
        <stp>*Q</stp>
        <stp>O:IBM 22A132.00D28</stp>
        <stp>Volume</stp>
        <tr r="O35" s="24"/>
      </tp>
      <tp>
        <v>598</v>
        <stp/>
        <stp>*Q</stp>
        <stp>O:IBM 22M133.00D28</stp>
        <stp>Volume</stp>
        <tr r="Z36" s="24"/>
      </tp>
      <tp>
        <v>463</v>
        <stp/>
        <stp>*Q</stp>
        <stp>O:IBM 22A133.00D28</stp>
        <stp>Volume</stp>
        <tr r="O36" s="24"/>
      </tp>
      <tp>
        <v>703</v>
        <stp/>
        <stp>*Q</stp>
        <stp>O:IBM 22M134.00D28</stp>
        <stp>Volume</stp>
        <tr r="Z37" s="24"/>
      </tp>
      <tp>
        <v>594</v>
        <stp/>
        <stp>*Q</stp>
        <stp>O:IBM 22A134.00D28</stp>
        <stp>Volume</stp>
        <tr r="O37" s="24"/>
      </tp>
      <tp>
        <v>370</v>
        <stp/>
        <stp>*Q</stp>
        <stp>O:IBM 22M135.00D28</stp>
        <stp>Volume</stp>
        <tr r="Z38" s="24"/>
      </tp>
      <tp>
        <v>1036</v>
        <stp/>
        <stp>*Q</stp>
        <stp>O:IBM 22A135.00D28</stp>
        <stp>Volume</stp>
        <tr r="O38" s="24"/>
      </tp>
      <tp>
        <v>224</v>
        <stp/>
        <stp>*Q</stp>
        <stp>O:IBM 22M136.00D28</stp>
        <stp>Volume</stp>
        <tr r="Z39" s="24"/>
      </tp>
      <tp>
        <v>446</v>
        <stp/>
        <stp>*Q</stp>
        <stp>O:IBM 22A136.00D28</stp>
        <stp>Volume</stp>
        <tr r="O39" s="24"/>
      </tp>
      <tp>
        <v>12</v>
        <stp/>
        <stp>*Q</stp>
        <stp>O:IBM 22M137.00D28</stp>
        <stp>Volume</stp>
        <tr r="Z40" s="24"/>
      </tp>
      <tp>
        <v>838</v>
        <stp/>
        <stp>*Q</stp>
        <stp>O:IBM 22A137.00D28</stp>
        <stp>Volume</stp>
        <tr r="O40" s="24"/>
      </tp>
    </main>
    <main first="fsxl">
      <tp>
        <v>25.5822</v>
        <stp/>
        <stp>='%HO 1!;11E' * 42 - '%BRN 1!-ICE'</stp>
        <stp>Last</stp>
        <tr r="L18" s="20"/>
      </tp>
      <tp>
        <v>21874</v>
        <stp/>
        <stp>WBS 1!:2!-ICE</stp>
        <stp>Volume</stp>
        <tr r="M12" s="20"/>
      </tp>
      <tp t="s">
        <v/>
        <stp/>
        <stp>=('NG 1!'+'NG 2!'+'NG 3!') /3</stp>
        <stp>OpenInt</stp>
        <tr r="N17" s="20"/>
      </tp>
    </main>
    <main first="fsxl">
      <tp>
        <v>754.75</v>
        <stp/>
        <stp>GAS 3!-ICE</stp>
        <stp>Low</stp>
        <tr r="K9" s="20"/>
      </tp>
      <tp>
        <v>86.22</v>
        <stp/>
        <stp>WBS 1!-ICE</stp>
        <stp>Low</stp>
        <tr r="K8" s="20"/>
      </tp>
      <tp t="s">
        <v/>
        <stp/>
        <stp>UHO 7!:8!-ICE</stp>
        <stp>OpenInt</stp>
        <tr r="N13" s="20"/>
      </tp>
      <tp>
        <v>80.664698651401096</v>
        <stp/>
        <stp>BRN 1!-ICE[EUR]</stp>
        <stp>Ask</stp>
        <tr r="J14" s="19"/>
      </tp>
      <tp>
        <v>18.794999999999987</v>
        <stp/>
        <stp>='%XRB 1!;7E' * 42 - '%CL 1!'</stp>
        <stp>Open</stp>
        <tr r="I16" s="20"/>
      </tp>
      <tp>
        <v>25.656199999999998</v>
        <stp/>
        <stp>='%HO 1!;11E' * 42 - '%BRN 1!-ICE'</stp>
        <stp>High</stp>
        <tr r="J18" s="20"/>
      </tp>
      <tp>
        <v>4.0713333333333335</v>
        <stp/>
        <stp>=('NG 1!'+'NG 2!'+'NG 3!') /3</stp>
        <stp>Open</stp>
        <tr r="I17" s="20"/>
      </tp>
      <tp>
        <v>1.37</v>
        <stp/>
        <stp>WBS 1!:2!-ICE</stp>
        <stp>Open</stp>
        <tr r="I12" s="20"/>
      </tp>
      <tp>
        <v>374</v>
        <stp/>
        <stp>UHO 7!:8!-ICE</stp>
        <stp>Volume</stp>
        <tr r="M13" s="20"/>
      </tp>
      <tp>
        <v>80.655725937424293</v>
        <stp/>
        <stp>BRN 1!-ICE[EUR]</stp>
        <stp>Bid</stp>
        <tr r="I14" s="19"/>
      </tp>
    </main>
    <main first="fsxl">
      <tp>
        <v>83.957999999999998</v>
        <stp/>
        <stp>*H</stp>
        <stp>BRN 1!-ICE</stp>
        <stp>Last</stp>
        <stp>WA</stp>
        <stp>44574</stp>
        <tr r="T18" s="19"/>
      </tp>
      <tp>
        <v>74.639130434782615</v>
        <stp/>
        <stp>*H</stp>
        <stp>BRN 1!-ICE</stp>
        <stp>Last</stp>
        <stp>MA</stp>
        <stp>44557</stp>
        <tr r="S23" s="19"/>
      </tp>
      <tp>
        <v>78.980909090909094</v>
        <stp/>
        <stp>*H</stp>
        <stp>BRN 1!-ICE</stp>
        <stp>Last</stp>
        <stp>MA</stp>
        <stp>44527</stp>
        <tr r="T23" s="19"/>
      </tp>
    </main>
    <main first="fsxl">
      <tp>
        <v>88.442499999999995</v>
        <stp/>
        <stp>*H</stp>
        <stp>BRN 1!-ICE</stp>
        <stp>Last</stp>
        <stp>WA</stp>
        <stp>44588</stp>
        <tr r="R18" s="19"/>
      </tp>
      <tp>
        <v>87.74</v>
        <stp/>
        <stp>*H</stp>
        <stp>BRN 1!-ICE</stp>
        <stp>Last</stp>
        <stp>WA</stp>
        <stp>44581</stp>
        <tr r="S18" s="19"/>
      </tp>
    </main>
    <main first="ice.xl">
      <tp>
        <v>44530.25</v>
        <stp/>
        <stp>*HT</stp>
        <stp>WBS 1!-ICE;WBS 1!-ICE;WBS 1!-ICE;WBS 1!-ICE;WBS 1!-ICE;WBS 1!-ICE</stp>
        <stp>D[dow:12345][tl:Intersection]</stp>
        <stp>50;TODAY() - 0D</stp>
        <stp>7</stp>
        <tr r="G61" s="21"/>
      </tp>
      <tp>
        <v>44529.25</v>
        <stp/>
        <stp>*HT</stp>
        <stp>WBS 1!-ICE;WBS 1!-ICE;WBS 1!-ICE;WBS 1!-ICE;WBS 1!-ICE;WBS 1!-ICE</stp>
        <stp>D[dow:12345][tl:Intersection]</stp>
        <stp>50;TODAY() - 0D</stp>
        <stp>6</stp>
        <tr r="G62" s="21"/>
      </tp>
      <tp>
        <v>44526.25</v>
        <stp/>
        <stp>*HT</stp>
        <stp>WBS 1!-ICE;WBS 1!-ICE;WBS 1!-ICE;WBS 1!-ICE;WBS 1!-ICE;WBS 1!-ICE</stp>
        <stp>D[dow:12345][tl:Intersection]</stp>
        <stp>50;TODAY() - 0D</stp>
        <stp>5</stp>
        <tr r="G63" s="21"/>
      </tp>
      <tp>
        <v>44525.25</v>
        <stp/>
        <stp>*HT</stp>
        <stp>WBS 1!-ICE;WBS 1!-ICE;WBS 1!-ICE;WBS 1!-ICE;WBS 1!-ICE;WBS 1!-ICE</stp>
        <stp>D[dow:12345][tl:Intersection]</stp>
        <stp>50;TODAY() - 0D</stp>
        <stp>4</stp>
        <tr r="G64" s="21"/>
      </tp>
      <tp>
        <v>44524.25</v>
        <stp/>
        <stp>*HT</stp>
        <stp>WBS 1!-ICE;WBS 1!-ICE;WBS 1!-ICE;WBS 1!-ICE;WBS 1!-ICE;WBS 1!-ICE</stp>
        <stp>D[dow:12345][tl:Intersection]</stp>
        <stp>50;TODAY() - 0D</stp>
        <stp>3</stp>
        <tr r="G65" s="21"/>
      </tp>
      <tp>
        <v>44523.25</v>
        <stp/>
        <stp>*HT</stp>
        <stp>WBS 1!-ICE;WBS 1!-ICE;WBS 1!-ICE;WBS 1!-ICE;WBS 1!-ICE;WBS 1!-ICE</stp>
        <stp>D[dow:12345][tl:Intersection]</stp>
        <stp>50;TODAY() - 0D</stp>
        <stp>2</stp>
        <tr r="G66" s="21"/>
      </tp>
      <tp>
        <v>44522.25</v>
        <stp/>
        <stp>*HT</stp>
        <stp>WBS 1!-ICE;WBS 1!-ICE;WBS 1!-ICE;WBS 1!-ICE;WBS 1!-ICE;WBS 1!-ICE</stp>
        <stp>D[dow:12345][tl:Intersection]</stp>
        <stp>50;TODAY() - 0D</stp>
        <stp>1</stp>
        <tr r="G67" s="21"/>
      </tp>
      <tp>
        <v>44519.25</v>
        <stp/>
        <stp>*HT</stp>
        <stp>WBS 1!-ICE;WBS 1!-ICE;WBS 1!-ICE;WBS 1!-ICE;WBS 1!-ICE;WBS 1!-ICE</stp>
        <stp>D[dow:12345][tl:Intersection]</stp>
        <stp>50;TODAY() - 0D</stp>
        <stp>0</stp>
        <tr r="G68" s="21"/>
      </tp>
      <tp>
        <v>44532.25</v>
        <stp/>
        <stp>*HT</stp>
        <stp>WBS 1!-ICE;WBS 1!-ICE;WBS 1!-ICE;WBS 1!-ICE;WBS 1!-ICE;WBS 1!-ICE</stp>
        <stp>D[dow:12345][tl:Intersection]</stp>
        <stp>50;TODAY() - 0D</stp>
        <stp>9</stp>
        <tr r="G59" s="21"/>
      </tp>
      <tp>
        <v>44531.25</v>
        <stp/>
        <stp>*HT</stp>
        <stp>WBS 1!-ICE;WBS 1!-ICE;WBS 1!-ICE;WBS 1!-ICE;WBS 1!-ICE;WBS 1!-ICE</stp>
        <stp>D[dow:12345][tl:Intersection]</stp>
        <stp>50;TODAY() - 0D</stp>
        <stp>8</stp>
        <tr r="G60" s="21"/>
      </tp>
    </main>
    <main first="fsxl">
      <tp>
        <v>131572</v>
        <stp/>
        <stp>%BRN 1!-ICE</stp>
        <stp>Volume</stp>
        <tr r="M7" s="20"/>
      </tp>
    </main>
    <main first="fsxl">
      <tp t="s">
        <v/>
        <stp/>
        <stp xml:space="preserve">WBS 18F:BRN18F-ICE </stp>
        <stp>Change</stp>
        <tr r="O11" s="20"/>
      </tp>
    </main>
    <main first="ice.xl">
      <tp>
        <v>24528</v>
        <stp/>
        <stp>*H</stp>
        <stp>WBS 1!-ICE</stp>
        <stp>Volume</stp>
        <stp>D</stp>
        <stp>44519.25</stp>
        <tr r="L68" s="21"/>
      </tp>
      <tp>
        <v>40167</v>
        <stp/>
        <stp>*H</stp>
        <stp>WBS 1!-ICE</stp>
        <stp>Volume</stp>
        <stp>D</stp>
        <stp>44523.25</stp>
        <tr r="L66" s="21"/>
      </tp>
      <tp>
        <v>19054</v>
        <stp/>
        <stp>*H</stp>
        <stp>WBS 1!-ICE</stp>
        <stp>Volume</stp>
        <stp>D</stp>
        <stp>44522.25</stp>
        <tr r="L67" s="21"/>
      </tp>
      <tp>
        <v>3106</v>
        <stp/>
        <stp>*H</stp>
        <stp>WBS 1!-ICE</stp>
        <stp>Volume</stp>
        <stp>D</stp>
        <stp>44525.25</stp>
        <tr r="L64" s="21"/>
      </tp>
      <tp>
        <v>14330</v>
        <stp/>
        <stp>*H</stp>
        <stp>WBS 1!-ICE</stp>
        <stp>Volume</stp>
        <stp>D</stp>
        <stp>44524.25</stp>
        <tr r="L65" s="21"/>
      </tp>
      <tp>
        <v>27624</v>
        <stp/>
        <stp>*H</stp>
        <stp>WBS 1!-ICE</stp>
        <stp>Volume</stp>
        <stp>D</stp>
        <stp>44526.25</stp>
        <tr r="L63" s="21"/>
      </tp>
      <tp>
        <v>27628</v>
        <stp/>
        <stp>*H</stp>
        <stp>WBS 1!-ICE</stp>
        <stp>Volume</stp>
        <stp>D</stp>
        <stp>44529.25</stp>
        <tr r="L62" s="21"/>
      </tp>
      <tp>
        <v>35357</v>
        <stp/>
        <stp>*H</stp>
        <stp>WBS 1!-ICE</stp>
        <stp>Volume</stp>
        <stp>D</stp>
        <stp>44531.25</stp>
        <tr r="L60" s="21"/>
      </tp>
      <tp>
        <v>38412</v>
        <stp/>
        <stp>*H</stp>
        <stp>WBS 1!-ICE</stp>
        <stp>Volume</stp>
        <stp>D</stp>
        <stp>44530.25</stp>
        <tr r="L61" s="21"/>
      </tp>
      <tp>
        <v>26781</v>
        <stp/>
        <stp>*H</stp>
        <stp>WBS 1!-ICE</stp>
        <stp>Volume</stp>
        <stp>D</stp>
        <stp>44533.25</stp>
        <tr r="L58" s="21"/>
      </tp>
      <tp>
        <v>42410</v>
        <stp/>
        <stp>*H</stp>
        <stp>WBS 1!-ICE</stp>
        <stp>Volume</stp>
        <stp>D</stp>
        <stp>44532.25</stp>
        <tr r="L59" s="21"/>
      </tp>
      <tp>
        <v>40757</v>
        <stp/>
        <stp>*H</stp>
        <stp>WBS 1!-ICE</stp>
        <stp>Volume</stp>
        <stp>D</stp>
        <stp>44537.25</stp>
        <tr r="L56" s="21"/>
      </tp>
      <tp>
        <v>28618</v>
        <stp/>
        <stp>*H</stp>
        <stp>WBS 1!-ICE</stp>
        <stp>Volume</stp>
        <stp>D</stp>
        <stp>44536.25</stp>
        <tr r="L57" s="21"/>
      </tp>
      <tp>
        <v>24104</v>
        <stp/>
        <stp>*H</stp>
        <stp>WBS 1!-ICE</stp>
        <stp>Volume</stp>
        <stp>D</stp>
        <stp>44539.25</stp>
        <tr r="L54" s="21"/>
      </tp>
      <tp>
        <v>32593</v>
        <stp/>
        <stp>*H</stp>
        <stp>WBS 1!-ICE</stp>
        <stp>Volume</stp>
        <stp>D</stp>
        <stp>44538.25</stp>
        <tr r="L55" s="21"/>
      </tp>
      <tp>
        <v>30699</v>
        <stp/>
        <stp>*H</stp>
        <stp>WBS 1!-ICE</stp>
        <stp>Volume</stp>
        <stp>D</stp>
        <stp>44540.25</stp>
        <tr r="L53" s="21"/>
      </tp>
      <tp>
        <v>26215</v>
        <stp/>
        <stp>*H</stp>
        <stp>WBS 1!-ICE</stp>
        <stp>Volume</stp>
        <stp>D</stp>
        <stp>44543.25</stp>
        <tr r="L52" s="21"/>
      </tp>
      <tp>
        <v>29014</v>
        <stp/>
        <stp>*H</stp>
        <stp>WBS 1!-ICE</stp>
        <stp>Volume</stp>
        <stp>D</stp>
        <stp>44545.25</stp>
        <tr r="L50" s="21"/>
      </tp>
      <tp>
        <v>29523</v>
        <stp/>
        <stp>*H</stp>
        <stp>WBS 1!-ICE</stp>
        <stp>Volume</stp>
        <stp>D</stp>
        <stp>44544.25</stp>
        <tr r="L51" s="21"/>
      </tp>
      <tp>
        <v>32893</v>
        <stp/>
        <stp>*H</stp>
        <stp>WBS 1!-ICE</stp>
        <stp>Volume</stp>
        <stp>D</stp>
        <stp>44547.25</stp>
        <tr r="L48" s="21"/>
      </tp>
      <tp>
        <v>35166</v>
        <stp/>
        <stp>*H</stp>
        <stp>WBS 1!-ICE</stp>
        <stp>Volume</stp>
        <stp>D</stp>
        <stp>44546.25</stp>
        <tr r="L49" s="21"/>
      </tp>
      <tp>
        <v>24772</v>
        <stp/>
        <stp>*H</stp>
        <stp>WBS 1!-ICE</stp>
        <stp>Volume</stp>
        <stp>D</stp>
        <stp>44551.25</stp>
        <tr r="L46" s="21"/>
      </tp>
      <tp>
        <v>35107</v>
        <stp/>
        <stp>*H</stp>
        <stp>WBS 1!-ICE</stp>
        <stp>Volume</stp>
        <stp>D</stp>
        <stp>44550.25</stp>
        <tr r="L47" s="21"/>
      </tp>
      <tp>
        <v>29205</v>
        <stp/>
        <stp>*H</stp>
        <stp>WBS 1!-ICE</stp>
        <stp>Volume</stp>
        <stp>D</stp>
        <stp>44553.25</stp>
        <tr r="L44" s="21"/>
      </tp>
      <tp>
        <v>29899</v>
        <stp/>
        <stp>*H</stp>
        <stp>WBS 1!-ICE</stp>
        <stp>Volume</stp>
        <stp>D</stp>
        <stp>44552.25</stp>
        <tr r="L45" s="21"/>
      </tp>
      <tp>
        <v>1086</v>
        <stp/>
        <stp>*H</stp>
        <stp>WBS 1!-ICE</stp>
        <stp>Volume</stp>
        <stp>D</stp>
        <stp>44554.25</stp>
        <tr r="L43" s="21"/>
      </tp>
      <tp>
        <v>12939</v>
        <stp/>
        <stp>*H</stp>
        <stp>WBS 1!-ICE</stp>
        <stp>Volume</stp>
        <stp>D</stp>
        <stp>44557.25</stp>
        <tr r="L42" s="21"/>
      </tp>
      <tp>
        <v>29283</v>
        <stp/>
        <stp>*H</stp>
        <stp>WBS 1!-ICE</stp>
        <stp>Volume</stp>
        <stp>D</stp>
        <stp>44559.25</stp>
        <tr r="L40" s="21"/>
      </tp>
      <tp>
        <v>21557</v>
        <stp/>
        <stp>*H</stp>
        <stp>WBS 1!-ICE</stp>
        <stp>Volume</stp>
        <stp>D</stp>
        <stp>44558.25</stp>
        <tr r="L41" s="21"/>
      </tp>
      <tp>
        <v>13352</v>
        <stp/>
        <stp>*H</stp>
        <stp>WBS 1!-ICE</stp>
        <stp>Volume</stp>
        <stp>D</stp>
        <stp>44561.25</stp>
        <tr r="L38" s="21"/>
      </tp>
      <tp>
        <v>16294</v>
        <stp/>
        <stp>*H</stp>
        <stp>WBS 1!-ICE</stp>
        <stp>Volume</stp>
        <stp>D</stp>
        <stp>44560.25</stp>
        <tr r="L39" s="21"/>
      </tp>
      <tp>
        <v>36765</v>
        <stp/>
        <stp>*H</stp>
        <stp>WBS 1!-ICE</stp>
        <stp>Volume</stp>
        <stp>D</stp>
        <stp>44565.25</stp>
        <tr r="L36" s="21"/>
      </tp>
      <tp>
        <v>23790</v>
        <stp/>
        <stp>*H</stp>
        <stp>WBS 1!-ICE</stp>
        <stp>Volume</stp>
        <stp>D</stp>
        <stp>44564.25</stp>
        <tr r="L37" s="21"/>
      </tp>
      <tp>
        <v>50150</v>
        <stp/>
        <stp>*H</stp>
        <stp>WBS 1!-ICE</stp>
        <stp>Volume</stp>
        <stp>D</stp>
        <stp>44567.25</stp>
        <tr r="L34" s="21"/>
      </tp>
      <tp>
        <v>46043</v>
        <stp/>
        <stp>*H</stp>
        <stp>WBS 1!-ICE</stp>
        <stp>Volume</stp>
        <stp>D</stp>
        <stp>44566.25</stp>
        <tr r="L35" s="21"/>
      </tp>
      <tp>
        <v>53447</v>
        <stp/>
        <stp>*H</stp>
        <stp>WBS 1!-ICE</stp>
        <stp>Volume</stp>
        <stp>D</stp>
        <stp>44568.25</stp>
        <tr r="L33" s="21"/>
      </tp>
      <tp>
        <v>41193</v>
        <stp/>
        <stp>*H</stp>
        <stp>WBS 1!-ICE</stp>
        <stp>Volume</stp>
        <stp>D</stp>
        <stp>44571.25</stp>
        <tr r="L32" s="21"/>
      </tp>
      <tp>
        <v>58533</v>
        <stp/>
        <stp>*H</stp>
        <stp>WBS 1!-ICE</stp>
        <stp>Volume</stp>
        <stp>D</stp>
        <stp>44573.25</stp>
        <tr r="L30" s="21"/>
      </tp>
      <tp>
        <v>57608</v>
        <stp/>
        <stp>*H</stp>
        <stp>WBS 1!-ICE</stp>
        <stp>Volume</stp>
        <stp>D</stp>
        <stp>44572.25</stp>
        <tr r="L31" s="21"/>
      </tp>
      <tp>
        <v>71845</v>
        <stp/>
        <stp>*H</stp>
        <stp>WBS 1!-ICE</stp>
        <stp>Volume</stp>
        <stp>D</stp>
        <stp>44575.25</stp>
        <tr r="L28" s="21"/>
      </tp>
      <tp>
        <v>41599</v>
        <stp/>
        <stp>*H</stp>
        <stp>WBS 1!-ICE</stp>
        <stp>Volume</stp>
        <stp>D</stp>
        <stp>44574.25</stp>
        <tr r="L29" s="21"/>
      </tp>
      <tp>
        <v>51921</v>
        <stp/>
        <stp>*H</stp>
        <stp>WBS 1!-ICE</stp>
        <stp>Volume</stp>
        <stp>D</stp>
        <stp>44579.25</stp>
        <tr r="L26" s="21"/>
      </tp>
      <tp>
        <v>14186</v>
        <stp/>
        <stp>*H</stp>
        <stp>WBS 1!-ICE</stp>
        <stp>Volume</stp>
        <stp>D</stp>
        <stp>44578.25</stp>
        <tr r="L27" s="21"/>
      </tp>
      <tp>
        <v>51060</v>
        <stp/>
        <stp>*H</stp>
        <stp>WBS 1!-ICE</stp>
        <stp>Volume</stp>
        <stp>D</stp>
        <stp>44581.25</stp>
        <tr r="L24" s="21"/>
      </tp>
      <tp>
        <v>66350</v>
        <stp/>
        <stp>*H</stp>
        <stp>WBS 1!-ICE</stp>
        <stp>Volume</stp>
        <stp>D</stp>
        <stp>44580.25</stp>
        <tr r="L25" s="21"/>
      </tp>
      <tp>
        <v>41009</v>
        <stp/>
        <stp>*H</stp>
        <stp>WBS 1!-ICE</stp>
        <stp>Volume</stp>
        <stp>D</stp>
        <stp>44582.25</stp>
        <tr r="L23" s="21"/>
      </tp>
      <tp>
        <v>48155</v>
        <stp/>
        <stp>*H</stp>
        <stp>WBS 1!-ICE</stp>
        <stp>Volume</stp>
        <stp>D</stp>
        <stp>44585.25</stp>
        <tr r="L22" s="21"/>
      </tp>
      <tp>
        <v>47453</v>
        <stp/>
        <stp>*H</stp>
        <stp>WBS 1!-ICE</stp>
        <stp>Volume</stp>
        <stp>D</stp>
        <stp>44587.25</stp>
        <tr r="L20" s="21"/>
      </tp>
      <tp>
        <v>57330</v>
        <stp/>
        <stp>*H</stp>
        <stp>WBS 1!-ICE</stp>
        <stp>Volume</stp>
        <stp>D</stp>
        <stp>44586.25</stp>
        <tr r="L21" s="21"/>
      </tp>
      <tp>
        <v>39578</v>
        <stp/>
        <stp>*H</stp>
        <stp>WBS 1!-ICE</stp>
        <stp>Volume</stp>
        <stp>D</stp>
        <stp>44588.25</stp>
        <tr r="L19" s="21"/>
      </tp>
    </main>
    <main first="fsxl">
      <tp>
        <v>86180</v>
        <stp/>
        <stp>GAS 3!-ICE</stp>
        <stp>Volume</stp>
        <tr r="M9" s="20"/>
      </tp>
      <tp>
        <v>39578</v>
        <stp/>
        <stp>WBS 1!-ICE</stp>
        <stp>Volume</stp>
        <tr r="M8" s="20"/>
      </tp>
      <tp t="s">
        <v/>
        <stp/>
        <stp xml:space="preserve">WBS 18F:BRN18F-ICE </stp>
        <stp>Low</stp>
        <tr r="K11" s="20"/>
      </tp>
      <tp t="s">
        <v>BRENT CRUDE OIL</v>
        <stp/>
        <stp>%BRN 1!-ICE</stp>
        <stp>Description</stp>
        <tr r="H7" s="20"/>
      </tp>
    </main>
    <main first="fsxl">
      <tp>
        <v>2.4823999999999984</v>
        <stp/>
        <stp>='%HO 1!;11E' * 42 - '%BRN 1!-ICE'</stp>
        <stp>Change</stp>
        <tr r="O18" s="20"/>
      </tp>
      <tp>
        <v>80.64675322344749</v>
        <stp/>
        <stp>BRN 1!-ICE[EUR]</stp>
        <stp>Last</stp>
        <tr r="H14" s="19"/>
      </tp>
    </main>
    <main first="fsxl">
      <tp>
        <v>0</v>
        <stp/>
        <stp>BRN 22JP8825-ICE</stp>
        <stp>Volume</stp>
        <tr r="T16" s="24"/>
      </tp>
      <tp>
        <v>0</v>
        <stp/>
        <stp>BRN 22JC8825-ICE</stp>
        <stp>Volume</stp>
        <tr r="L16" s="24"/>
      </tp>
      <tp>
        <v>128</v>
        <stp/>
        <stp>BRN 22JP8800-ICE</stp>
        <stp>Volume</stp>
        <tr r="T15" s="24"/>
      </tp>
      <tp>
        <v>1</v>
        <stp/>
        <stp>BRN 22JC8800-ICE</stp>
        <stp>Volume</stp>
        <tr r="L15" s="24"/>
      </tp>
      <tp>
        <v>27</v>
        <stp/>
        <stp>BRN 22JP8875-ICE</stp>
        <stp>Volume</stp>
        <tr r="T18" s="24"/>
      </tp>
      <tp>
        <v>27</v>
        <stp/>
        <stp>BRN 22JC8875-ICE</stp>
        <stp>Volume</stp>
        <tr r="L18" s="24"/>
      </tp>
      <tp>
        <v>27</v>
        <stp/>
        <stp>BRN 22JP8850-ICE</stp>
        <stp>Volume</stp>
        <tr r="T17" s="24"/>
      </tp>
      <tp>
        <v>830</v>
        <stp/>
        <stp>BRN 22JC8850-ICE</stp>
        <stp>Volume</stp>
        <tr r="L17" s="24"/>
      </tp>
      <tp>
        <v>7</v>
        <stp/>
        <stp>BRN 22JP8925-ICE</stp>
        <stp>Volume</stp>
        <tr r="T20" s="24"/>
      </tp>
      <tp>
        <v>2</v>
        <stp/>
        <stp>BRN 22JC8925-ICE</stp>
        <stp>Volume</stp>
        <tr r="L20" s="24"/>
      </tp>
      <tp>
        <v>1717</v>
        <stp/>
        <stp>BRN 22JP8900-ICE</stp>
        <stp>Volume</stp>
        <tr r="T19" s="24"/>
      </tp>
      <tp>
        <v>112</v>
        <stp/>
        <stp>BRN 22JC8900-ICE</stp>
        <stp>Volume</stp>
        <tr r="L19" s="24"/>
      </tp>
      <tp>
        <v>8</v>
        <stp/>
        <stp>BRN 22JP8975-ICE</stp>
        <stp>Volume</stp>
        <tr r="T22" s="24"/>
      </tp>
      <tp>
        <v>3</v>
        <stp/>
        <stp>BRN 22JC8975-ICE</stp>
        <stp>Volume</stp>
        <tr r="L22" s="24"/>
      </tp>
      <tp>
        <v>30</v>
        <stp/>
        <stp>BRN 22JP8950-ICE</stp>
        <stp>Volume</stp>
        <tr r="T21" s="24"/>
      </tp>
      <tp>
        <v>45</v>
        <stp/>
        <stp>BRN 22JC8950-ICE</stp>
        <stp>Volume</stp>
        <tr r="L21" s="24"/>
      </tp>
      <tp>
        <v>6</v>
        <stp/>
        <stp>BRN 22JP8775-ICE</stp>
        <stp>Volume</stp>
        <tr r="T14" s="24"/>
      </tp>
      <tp>
        <v>0</v>
        <stp/>
        <stp>BRN 22JC8775-ICE</stp>
        <stp>Volume</stp>
        <tr r="L14" s="24"/>
      </tp>
      <tp>
        <v>34</v>
        <stp/>
        <stp>BRN 22JP8750-ICE</stp>
        <stp>Volume</stp>
        <tr r="T13" s="24"/>
      </tp>
      <tp>
        <v>50</v>
        <stp/>
        <stp>BRN 22JC8750-ICE</stp>
        <stp>Volume</stp>
        <tr r="L13" s="24"/>
      </tp>
    </main>
    <main first="fsxl">
      <tp>
        <v>3.57</v>
        <stp/>
        <stp>BRN 22JC8900-ICE</stp>
        <stp>Last</stp>
        <tr r="J19" s="24"/>
      </tp>
      <tp>
        <v>4.03</v>
        <stp/>
        <stp>BRN 22JC8800-ICE</stp>
        <stp>Last</stp>
        <tr r="J15" s="24"/>
      </tp>
      <tp>
        <v>94</v>
        <stp/>
        <stp>BRN 22JC8775-ICE</stp>
        <stp>OpenInt</stp>
        <tr r="M14" s="24"/>
      </tp>
      <tp>
        <v>27</v>
        <stp/>
        <stp>BRN 22JP8775-ICE</stp>
        <stp>OpenInt</stp>
        <tr r="U14" s="24"/>
      </tp>
      <tp>
        <v>1346</v>
        <stp/>
        <stp>BRN 22JC8750-ICE</stp>
        <stp>OpenInt</stp>
        <tr r="M13" s="24"/>
      </tp>
      <tp>
        <v>465</v>
        <stp/>
        <stp>BRN 22JP8750-ICE</stp>
        <stp>OpenInt</stp>
        <tr r="U13" s="24"/>
      </tp>
    </main>
    <main first="fsxl">
      <tp>
        <v>773</v>
        <stp/>
        <stp>*H</stp>
        <stp>GAS 1!-ICE</stp>
        <stp>Last</stp>
        <stp>WA</stp>
        <stp>44588</stp>
        <tr r="R19" s="19"/>
      </tp>
      <tp>
        <v>769.2</v>
        <stp/>
        <stp>*H</stp>
        <stp>GAS 1!-ICE</stp>
        <stp>Last</stp>
        <stp>WA</stp>
        <stp>44581</stp>
        <tr r="S19" s="19"/>
      </tp>
      <tp>
        <v>4.41</v>
        <stp/>
        <stp>BRN 22JP8900-ICE</stp>
        <stp>Last</stp>
        <tr r="R19" s="24"/>
      </tp>
      <tp>
        <v>3.54</v>
        <stp/>
        <stp>BRN 22JP8800-ICE</stp>
        <stp>Last</stp>
        <tr r="R15" s="24"/>
      </tp>
      <tp>
        <v>678.72727272727275</v>
        <stp/>
        <stp>*H</stp>
        <stp>GAS 1!-ICE</stp>
        <stp>Last</stp>
        <stp>MA</stp>
        <stp>44527</stp>
        <tr r="T24" s="19"/>
      </tp>
      <tp>
        <v>730.4</v>
        <stp/>
        <stp>*H</stp>
        <stp>GAS 1!-ICE</stp>
        <stp>Last</stp>
        <stp>WA</stp>
        <stp>44574</stp>
        <tr r="T19" s="19"/>
      </tp>
      <tp>
        <v>644.03260869565213</v>
        <stp/>
        <stp>*H</stp>
        <stp>GAS 1!-ICE</stp>
        <stp>Last</stp>
        <stp>MA</stp>
        <stp>44557</stp>
        <tr r="S24" s="19"/>
      </tp>
      <tp>
        <v>6</v>
        <stp/>
        <stp>GAS 3!-ICE</stp>
        <stp>Change</stp>
        <tr r="O9" s="20"/>
      </tp>
      <tp>
        <v>-0.15</v>
        <stp/>
        <stp>WBS 1!-ICE</stp>
        <stp>Change</stp>
        <tr r="O8" s="20"/>
      </tp>
    </main>
    <main first="ice.xl">
      <tp>
        <v>1776</v>
        <stp/>
        <stp>*Q</stp>
        <stp>O:IBM 22M135.00D28</stp>
        <stp>OpenInt</stp>
        <tr r="AA38" s="24"/>
      </tp>
      <tp>
        <v>2878</v>
        <stp/>
        <stp>*Q</stp>
        <stp>O:IBM 22A135.00D28</stp>
        <stp>OpenInt</stp>
        <tr r="P38" s="24"/>
      </tp>
    </main>
    <main first="fsxl">
      <tp t="s">
        <v/>
        <stp/>
        <stp xml:space="preserve">WBS 18F:BRN18F-ICE </stp>
        <stp>Volume</stp>
        <tr r="M11" s="20"/>
      </tp>
    </main>
    <main first="ice.xl">
      <tp>
        <v>44579.25</v>
        <stp/>
        <stp>*HT</stp>
        <stp>WBS 1!-ICE;WBS 1!-ICE;WBS 1!-ICE;WBS 1!-ICE;WBS 1!-ICE;WBS 1!-ICE</stp>
        <stp>D[dow:12345][tl:Intersection]</stp>
        <stp>50;TODAY() - 0D</stp>
        <stp>42</stp>
        <tr r="G26" s="21"/>
      </tp>
      <tp>
        <v>44580.25</v>
        <stp/>
        <stp>*HT</stp>
        <stp>WBS 1!-ICE;WBS 1!-ICE;WBS 1!-ICE;WBS 1!-ICE;WBS 1!-ICE;WBS 1!-ICE</stp>
        <stp>D[dow:12345][tl:Intersection]</stp>
        <stp>50;TODAY() - 0D</stp>
        <stp>43</stp>
        <tr r="G25" s="21"/>
      </tp>
      <tp>
        <v>44575.25</v>
        <stp/>
        <stp>*HT</stp>
        <stp>WBS 1!-ICE;WBS 1!-ICE;WBS 1!-ICE;WBS 1!-ICE;WBS 1!-ICE;WBS 1!-ICE</stp>
        <stp>D[dow:12345][tl:Intersection]</stp>
        <stp>50;TODAY() - 0D</stp>
        <stp>40</stp>
        <tr r="G28" s="21"/>
      </tp>
      <tp>
        <v>44578.25</v>
        <stp/>
        <stp>*HT</stp>
        <stp>WBS 1!-ICE;WBS 1!-ICE;WBS 1!-ICE;WBS 1!-ICE;WBS 1!-ICE;WBS 1!-ICE</stp>
        <stp>D[dow:12345][tl:Intersection]</stp>
        <stp>50;TODAY() - 0D</stp>
        <stp>41</stp>
        <tr r="G27" s="21"/>
      </tp>
      <tp>
        <v>44585.25</v>
        <stp/>
        <stp>*HT</stp>
        <stp>WBS 1!-ICE;WBS 1!-ICE;WBS 1!-ICE;WBS 1!-ICE;WBS 1!-ICE;WBS 1!-ICE</stp>
        <stp>D[dow:12345][tl:Intersection]</stp>
        <stp>50;TODAY() - 0D</stp>
        <stp>46</stp>
        <tr r="G22" s="21"/>
      </tp>
      <tp>
        <v>44586.25</v>
        <stp/>
        <stp>*HT</stp>
        <stp>WBS 1!-ICE;WBS 1!-ICE;WBS 1!-ICE;WBS 1!-ICE;WBS 1!-ICE;WBS 1!-ICE</stp>
        <stp>D[dow:12345][tl:Intersection]</stp>
        <stp>50;TODAY() - 0D</stp>
        <stp>47</stp>
        <tr r="G21" s="21"/>
      </tp>
      <tp>
        <v>44581.25</v>
        <stp/>
        <stp>*HT</stp>
        <stp>WBS 1!-ICE;WBS 1!-ICE;WBS 1!-ICE;WBS 1!-ICE;WBS 1!-ICE;WBS 1!-ICE</stp>
        <stp>D[dow:12345][tl:Intersection]</stp>
        <stp>50;TODAY() - 0D</stp>
        <stp>44</stp>
        <tr r="G24" s="21"/>
      </tp>
      <tp>
        <v>44582.25</v>
        <stp/>
        <stp>*HT</stp>
        <stp>WBS 1!-ICE;WBS 1!-ICE;WBS 1!-ICE;WBS 1!-ICE;WBS 1!-ICE;WBS 1!-ICE</stp>
        <stp>D[dow:12345][tl:Intersection]</stp>
        <stp>50;TODAY() - 0D</stp>
        <stp>45</stp>
        <tr r="G23" s="21"/>
      </tp>
      <tp>
        <v>44587.25</v>
        <stp/>
        <stp>*HT</stp>
        <stp>WBS 1!-ICE;WBS 1!-ICE;WBS 1!-ICE;WBS 1!-ICE;WBS 1!-ICE;WBS 1!-ICE</stp>
        <stp>D[dow:12345][tl:Intersection]</stp>
        <stp>50;TODAY() - 0D</stp>
        <stp>48</stp>
        <tr r="G20" s="21"/>
      </tp>
      <tp>
        <v>44588.25</v>
        <stp/>
        <stp>*HT</stp>
        <stp>WBS 1!-ICE;WBS 1!-ICE;WBS 1!-ICE;WBS 1!-ICE;WBS 1!-ICE;WBS 1!-ICE</stp>
        <stp>D[dow:12345][tl:Intersection]</stp>
        <stp>50;TODAY() - 0D</stp>
        <stp>49</stp>
        <tr r="G19" s="21"/>
      </tp>
      <tp>
        <v>44565.25</v>
        <stp/>
        <stp>*HT</stp>
        <stp>WBS 1!-ICE;WBS 1!-ICE;WBS 1!-ICE;WBS 1!-ICE;WBS 1!-ICE;WBS 1!-ICE</stp>
        <stp>D[dow:12345][tl:Intersection]</stp>
        <stp>50;TODAY() - 0D</stp>
        <stp>32</stp>
        <tr r="G36" s="21"/>
      </tp>
      <tp>
        <v>44566.25</v>
        <stp/>
        <stp>*HT</stp>
        <stp>WBS 1!-ICE;WBS 1!-ICE;WBS 1!-ICE;WBS 1!-ICE;WBS 1!-ICE;WBS 1!-ICE</stp>
        <stp>D[dow:12345][tl:Intersection]</stp>
        <stp>50;TODAY() - 0D</stp>
        <stp>33</stp>
        <tr r="G35" s="21"/>
      </tp>
      <tp>
        <v>44561.25</v>
        <stp/>
        <stp>*HT</stp>
        <stp>WBS 1!-ICE;WBS 1!-ICE;WBS 1!-ICE;WBS 1!-ICE;WBS 1!-ICE;WBS 1!-ICE</stp>
        <stp>D[dow:12345][tl:Intersection]</stp>
        <stp>50;TODAY() - 0D</stp>
        <stp>30</stp>
        <tr r="G38" s="21"/>
      </tp>
      <tp>
        <v>44564.25</v>
        <stp/>
        <stp>*HT</stp>
        <stp>WBS 1!-ICE;WBS 1!-ICE;WBS 1!-ICE;WBS 1!-ICE;WBS 1!-ICE;WBS 1!-ICE</stp>
        <stp>D[dow:12345][tl:Intersection]</stp>
        <stp>50;TODAY() - 0D</stp>
        <stp>31</stp>
        <tr r="G37" s="21"/>
      </tp>
      <tp>
        <v>44571.25</v>
        <stp/>
        <stp>*HT</stp>
        <stp>WBS 1!-ICE;WBS 1!-ICE;WBS 1!-ICE;WBS 1!-ICE;WBS 1!-ICE;WBS 1!-ICE</stp>
        <stp>D[dow:12345][tl:Intersection]</stp>
        <stp>50;TODAY() - 0D</stp>
        <stp>36</stp>
        <tr r="G32" s="21"/>
      </tp>
      <tp>
        <v>44572.25</v>
        <stp/>
        <stp>*HT</stp>
        <stp>WBS 1!-ICE;WBS 1!-ICE;WBS 1!-ICE;WBS 1!-ICE;WBS 1!-ICE;WBS 1!-ICE</stp>
        <stp>D[dow:12345][tl:Intersection]</stp>
        <stp>50;TODAY() - 0D</stp>
        <stp>37</stp>
        <tr r="G31" s="21"/>
      </tp>
      <tp>
        <v>44567.25</v>
        <stp/>
        <stp>*HT</stp>
        <stp>WBS 1!-ICE;WBS 1!-ICE;WBS 1!-ICE;WBS 1!-ICE;WBS 1!-ICE;WBS 1!-ICE</stp>
        <stp>D[dow:12345][tl:Intersection]</stp>
        <stp>50;TODAY() - 0D</stp>
        <stp>34</stp>
        <tr r="G34" s="21"/>
      </tp>
      <tp>
        <v>44568.25</v>
        <stp/>
        <stp>*HT</stp>
        <stp>WBS 1!-ICE;WBS 1!-ICE;WBS 1!-ICE;WBS 1!-ICE;WBS 1!-ICE;WBS 1!-ICE</stp>
        <stp>D[dow:12345][tl:Intersection]</stp>
        <stp>50;TODAY() - 0D</stp>
        <stp>35</stp>
        <tr r="G33" s="21"/>
      </tp>
      <tp>
        <v>44573.25</v>
        <stp/>
        <stp>*HT</stp>
        <stp>WBS 1!-ICE;WBS 1!-ICE;WBS 1!-ICE;WBS 1!-ICE;WBS 1!-ICE;WBS 1!-ICE</stp>
        <stp>D[dow:12345][tl:Intersection]</stp>
        <stp>50;TODAY() - 0D</stp>
        <stp>38</stp>
        <tr r="G30" s="21"/>
      </tp>
      <tp>
        <v>44574.25</v>
        <stp/>
        <stp>*HT</stp>
        <stp>WBS 1!-ICE;WBS 1!-ICE;WBS 1!-ICE;WBS 1!-ICE;WBS 1!-ICE;WBS 1!-ICE</stp>
        <stp>D[dow:12345][tl:Intersection]</stp>
        <stp>50;TODAY() - 0D</stp>
        <stp>39</stp>
        <tr r="G29" s="21"/>
      </tp>
      <tp>
        <v>44551.25</v>
        <stp/>
        <stp>*HT</stp>
        <stp>WBS 1!-ICE;WBS 1!-ICE;WBS 1!-ICE;WBS 1!-ICE;WBS 1!-ICE;WBS 1!-ICE</stp>
        <stp>D[dow:12345][tl:Intersection]</stp>
        <stp>50;TODAY() - 0D</stp>
        <stp>22</stp>
        <tr r="G46" s="21"/>
      </tp>
      <tp>
        <v>44552.25</v>
        <stp/>
        <stp>*HT</stp>
        <stp>WBS 1!-ICE;WBS 1!-ICE;WBS 1!-ICE;WBS 1!-ICE;WBS 1!-ICE;WBS 1!-ICE</stp>
        <stp>D[dow:12345][tl:Intersection]</stp>
        <stp>50;TODAY() - 0D</stp>
        <stp>23</stp>
        <tr r="G45" s="21"/>
      </tp>
      <tp>
        <v>44547.25</v>
        <stp/>
        <stp>*HT</stp>
        <stp>WBS 1!-ICE;WBS 1!-ICE;WBS 1!-ICE;WBS 1!-ICE;WBS 1!-ICE;WBS 1!-ICE</stp>
        <stp>D[dow:12345][tl:Intersection]</stp>
        <stp>50;TODAY() - 0D</stp>
        <stp>20</stp>
        <tr r="G48" s="21"/>
      </tp>
      <tp>
        <v>44550.25</v>
        <stp/>
        <stp>*HT</stp>
        <stp>WBS 1!-ICE;WBS 1!-ICE;WBS 1!-ICE;WBS 1!-ICE;WBS 1!-ICE;WBS 1!-ICE</stp>
        <stp>D[dow:12345][tl:Intersection]</stp>
        <stp>50;TODAY() - 0D</stp>
        <stp>21</stp>
        <tr r="G47" s="21"/>
      </tp>
      <tp>
        <v>44557.25</v>
        <stp/>
        <stp>*HT</stp>
        <stp>WBS 1!-ICE;WBS 1!-ICE;WBS 1!-ICE;WBS 1!-ICE;WBS 1!-ICE;WBS 1!-ICE</stp>
        <stp>D[dow:12345][tl:Intersection]</stp>
        <stp>50;TODAY() - 0D</stp>
        <stp>26</stp>
        <tr r="G42" s="21"/>
      </tp>
      <tp>
        <v>44558.25</v>
        <stp/>
        <stp>*HT</stp>
        <stp>WBS 1!-ICE;WBS 1!-ICE;WBS 1!-ICE;WBS 1!-ICE;WBS 1!-ICE;WBS 1!-ICE</stp>
        <stp>D[dow:12345][tl:Intersection]</stp>
        <stp>50;TODAY() - 0D</stp>
        <stp>27</stp>
        <tr r="G41" s="21"/>
      </tp>
      <tp>
        <v>44553.25</v>
        <stp/>
        <stp>*HT</stp>
        <stp>WBS 1!-ICE;WBS 1!-ICE;WBS 1!-ICE;WBS 1!-ICE;WBS 1!-ICE;WBS 1!-ICE</stp>
        <stp>D[dow:12345][tl:Intersection]</stp>
        <stp>50;TODAY() - 0D</stp>
        <stp>24</stp>
        <tr r="G44" s="21"/>
      </tp>
      <tp>
        <v>44554.25</v>
        <stp/>
        <stp>*HT</stp>
        <stp>WBS 1!-ICE;WBS 1!-ICE;WBS 1!-ICE;WBS 1!-ICE;WBS 1!-ICE;WBS 1!-ICE</stp>
        <stp>D[dow:12345][tl:Intersection]</stp>
        <stp>50;TODAY() - 0D</stp>
        <stp>25</stp>
        <tr r="G43" s="21"/>
      </tp>
      <tp>
        <v>44559.25</v>
        <stp/>
        <stp>*HT</stp>
        <stp>WBS 1!-ICE;WBS 1!-ICE;WBS 1!-ICE;WBS 1!-ICE;WBS 1!-ICE;WBS 1!-ICE</stp>
        <stp>D[dow:12345][tl:Intersection]</stp>
        <stp>50;TODAY() - 0D</stp>
        <stp>28</stp>
        <tr r="G40" s="21"/>
      </tp>
      <tp>
        <v>44560.25</v>
        <stp/>
        <stp>*HT</stp>
        <stp>WBS 1!-ICE;WBS 1!-ICE;WBS 1!-ICE;WBS 1!-ICE;WBS 1!-ICE;WBS 1!-ICE</stp>
        <stp>D[dow:12345][tl:Intersection]</stp>
        <stp>50;TODAY() - 0D</stp>
        <stp>29</stp>
        <tr r="G39" s="21"/>
      </tp>
      <tp>
        <v>44537.25</v>
        <stp/>
        <stp>*HT</stp>
        <stp>WBS 1!-ICE;WBS 1!-ICE;WBS 1!-ICE;WBS 1!-ICE;WBS 1!-ICE;WBS 1!-ICE</stp>
        <stp>D[dow:12345][tl:Intersection]</stp>
        <stp>50;TODAY() - 0D</stp>
        <stp>12</stp>
        <tr r="G56" s="21"/>
      </tp>
      <tp>
        <v>44538.25</v>
        <stp/>
        <stp>*HT</stp>
        <stp>WBS 1!-ICE;WBS 1!-ICE;WBS 1!-ICE;WBS 1!-ICE;WBS 1!-ICE;WBS 1!-ICE</stp>
        <stp>D[dow:12345][tl:Intersection]</stp>
        <stp>50;TODAY() - 0D</stp>
        <stp>13</stp>
        <tr r="G55" s="21"/>
      </tp>
      <tp>
        <v>44533.25</v>
        <stp/>
        <stp>*HT</stp>
        <stp>WBS 1!-ICE;WBS 1!-ICE;WBS 1!-ICE;WBS 1!-ICE;WBS 1!-ICE;WBS 1!-ICE</stp>
        <stp>D[dow:12345][tl:Intersection]</stp>
        <stp>50;TODAY() - 0D</stp>
        <stp>10</stp>
        <tr r="G58" s="21"/>
      </tp>
      <tp>
        <v>44536.25</v>
        <stp/>
        <stp>*HT</stp>
        <stp>WBS 1!-ICE;WBS 1!-ICE;WBS 1!-ICE;WBS 1!-ICE;WBS 1!-ICE;WBS 1!-ICE</stp>
        <stp>D[dow:12345][tl:Intersection]</stp>
        <stp>50;TODAY() - 0D</stp>
        <stp>11</stp>
        <tr r="G57" s="21"/>
      </tp>
      <tp>
        <v>44543.25</v>
        <stp/>
        <stp>*HT</stp>
        <stp>WBS 1!-ICE;WBS 1!-ICE;WBS 1!-ICE;WBS 1!-ICE;WBS 1!-ICE;WBS 1!-ICE</stp>
        <stp>D[dow:12345][tl:Intersection]</stp>
        <stp>50;TODAY() - 0D</stp>
        <stp>16</stp>
        <tr r="G52" s="21"/>
      </tp>
      <tp>
        <v>44544.25</v>
        <stp/>
        <stp>*HT</stp>
        <stp>WBS 1!-ICE;WBS 1!-ICE;WBS 1!-ICE;WBS 1!-ICE;WBS 1!-ICE;WBS 1!-ICE</stp>
        <stp>D[dow:12345][tl:Intersection]</stp>
        <stp>50;TODAY() - 0D</stp>
        <stp>17</stp>
        <tr r="G51" s="21"/>
      </tp>
      <tp>
        <v>44539.25</v>
        <stp/>
        <stp>*HT</stp>
        <stp>WBS 1!-ICE;WBS 1!-ICE;WBS 1!-ICE;WBS 1!-ICE;WBS 1!-ICE;WBS 1!-ICE</stp>
        <stp>D[dow:12345][tl:Intersection]</stp>
        <stp>50;TODAY() - 0D</stp>
        <stp>14</stp>
        <tr r="G54" s="21"/>
      </tp>
      <tp>
        <v>44540.25</v>
        <stp/>
        <stp>*HT</stp>
        <stp>WBS 1!-ICE;WBS 1!-ICE;WBS 1!-ICE;WBS 1!-ICE;WBS 1!-ICE;WBS 1!-ICE</stp>
        <stp>D[dow:12345][tl:Intersection]</stp>
        <stp>50;TODAY() - 0D</stp>
        <stp>15</stp>
        <tr r="G53" s="21"/>
      </tp>
      <tp>
        <v>44545.25</v>
        <stp/>
        <stp>*HT</stp>
        <stp>WBS 1!-ICE;WBS 1!-ICE;WBS 1!-ICE;WBS 1!-ICE;WBS 1!-ICE;WBS 1!-ICE</stp>
        <stp>D[dow:12345][tl:Intersection]</stp>
        <stp>50;TODAY() - 0D</stp>
        <stp>18</stp>
        <tr r="G50" s="21"/>
      </tp>
      <tp>
        <v>44546.25</v>
        <stp/>
        <stp>*HT</stp>
        <stp>WBS 1!-ICE;WBS 1!-ICE;WBS 1!-ICE;WBS 1!-ICE;WBS 1!-ICE;WBS 1!-ICE</stp>
        <stp>D[dow:12345][tl:Intersection]</stp>
        <stp>50;TODAY() - 0D</stp>
        <stp>19</stp>
        <tr r="G49" s="21"/>
      </tp>
    </main>
    <main first="ice.xl">
      <tp>
        <v>547</v>
        <stp/>
        <stp>*Q</stp>
        <stp>O:IBM 22M134.00D28</stp>
        <stp>OpenInt</stp>
        <tr r="AA37" s="24"/>
      </tp>
      <tp>
        <v>2170</v>
        <stp/>
        <stp>*Q</stp>
        <stp>O:IBM 22A134.00D28</stp>
        <stp>OpenInt</stp>
        <tr r="P37" s="24"/>
      </tp>
    </main>
    <main first="fsxl">
      <tp>
        <v>3.59</v>
        <stp/>
        <stp>BRN 22JC8925-ICE</stp>
        <stp>Last</stp>
        <tr r="J20" s="24"/>
      </tp>
      <tp t="s">
        <v/>
        <stp/>
        <stp>BRN 22JC8825-ICE</stp>
        <stp>Last</stp>
        <tr r="J16" s="24"/>
      </tp>
      <tp>
        <v>4.17</v>
        <stp/>
        <stp>BRN 22JP8925-ICE</stp>
        <stp>Last</stp>
        <tr r="R20" s="24"/>
      </tp>
      <tp t="s">
        <v/>
        <stp/>
        <stp>BRN 22JP8825-ICE</stp>
        <stp>Last</stp>
        <tr r="R16" s="24"/>
      </tp>
    </main>
    <main first="ice.xl">
      <tp>
        <v>185</v>
        <stp/>
        <stp>*Q</stp>
        <stp>O:IBM 22M137.00D28</stp>
        <stp>OpenInt</stp>
        <tr r="AA40" s="24"/>
      </tp>
      <tp>
        <v>1234</v>
        <stp/>
        <stp>*Q</stp>
        <stp>O:IBM 22A137.00D28</stp>
        <stp>OpenInt</stp>
        <tr r="P40" s="24"/>
      </tp>
    </main>
    <main first="fsxl">
      <tp>
        <v>-0.08</v>
        <stp/>
        <stp>%BRN 1!-ICE</stp>
        <stp>Change</stp>
        <tr r="O7" s="20"/>
      </tp>
    </main>
    <main first="ice.xl">
      <tp>
        <v>482</v>
        <stp/>
        <stp>*Q</stp>
        <stp>O:IBM 22M136.00D28</stp>
        <stp>OpenInt</stp>
        <tr r="AA39" s="24"/>
      </tp>
      <tp>
        <v>1186</v>
        <stp/>
        <stp>*Q</stp>
        <stp>O:IBM 22A136.00D28</stp>
        <stp>OpenInt</stp>
        <tr r="P39" s="24"/>
      </tp>
    </main>
    <main first="fsxl">
      <tp>
        <v>2.1399989231844305</v>
        <stp/>
        <stp>BRN 1!-ICE[GAL]</stp>
        <stp>Last</stp>
        <tr r="H19" s="19"/>
      </tp>
    </main>
    <main first="ice.xl">
      <tp>
        <v>831</v>
        <stp/>
        <stp>*Q</stp>
        <stp>O:IBM 22M131.00D28</stp>
        <stp>OpenInt</stp>
        <tr r="AA34" s="24"/>
      </tp>
      <tp>
        <v>519</v>
        <stp/>
        <stp>*Q</stp>
        <stp>O:IBM 22A131.00D28</stp>
        <stp>OpenInt</stp>
        <tr r="P34" s="24"/>
      </tp>
    </main>
    <main first="fsxl">
      <tp>
        <v>3.21</v>
        <stp/>
        <stp>BRN 22JC8950-ICE</stp>
        <stp>Last</stp>
        <tr r="J21" s="24"/>
      </tp>
      <tp>
        <v>3.8</v>
        <stp/>
        <stp>BRN 22JC8850-ICE</stp>
        <stp>Last</stp>
        <tr r="J17" s="24"/>
      </tp>
      <tp>
        <v>4.53</v>
        <stp/>
        <stp>BRN 22JC8750-ICE</stp>
        <stp>Last</stp>
        <tr r="J13" s="24"/>
      </tp>
      <tp>
        <v>4.6900000000000004</v>
        <stp/>
        <stp>BRN 22JP8950-ICE</stp>
        <stp>Last</stp>
        <tr r="R21" s="24"/>
      </tp>
      <tp t="s">
        <v/>
        <stp/>
        <stp>BRN 22JP8850-ICE</stp>
        <stp>Last</stp>
        <tr r="R17" s="24"/>
      </tp>
      <tp>
        <v>3.09</v>
        <stp/>
        <stp>BRN 22JP8750-ICE</stp>
        <stp>Last</stp>
        <tr r="R13" s="24"/>
      </tp>
    </main>
    <main first="ice.xl">
      <tp>
        <v>1634</v>
        <stp/>
        <stp>*Q</stp>
        <stp>O:IBM 22M130.00D28</stp>
        <stp>OpenInt</stp>
        <tr r="AA33" s="24"/>
      </tp>
      <tp>
        <v>1340</v>
        <stp/>
        <stp>*Q</stp>
        <stp>O:IBM 22A130.00D28</stp>
        <stp>OpenInt</stp>
        <tr r="P33" s="24"/>
      </tp>
    </main>
    <main first="ice.xl">
      <tp>
        <v>484</v>
        <stp/>
        <stp>*Q</stp>
        <stp>O:IBM 22M133.00D28</stp>
        <stp>OpenInt</stp>
        <tr r="AA36" s="24"/>
      </tp>
      <tp>
        <v>1088</v>
        <stp/>
        <stp>*Q</stp>
        <stp>O:IBM 22A133.00D28</stp>
        <stp>OpenInt</stp>
        <tr r="P36" s="24"/>
      </tp>
    </main>
    <main first="fsxl">
      <tp t="s">
        <v/>
        <stp/>
        <stp>='%HO 1!;11E' * 42 - '%BRN 1!-ICE'</stp>
        <stp>Volume</stp>
        <tr r="M18" s="20"/>
      </tp>
      <tp>
        <v>3.46</v>
        <stp/>
        <stp>BRN 22JC8975-ICE</stp>
        <stp>Last</stp>
        <tr r="J22" s="24"/>
      </tp>
      <tp t="s">
        <v/>
        <stp/>
        <stp>BRN 22JC8875-ICE</stp>
        <stp>Last</stp>
        <tr r="J18" s="24"/>
      </tp>
      <tp t="s">
        <v/>
        <stp/>
        <stp>BRN 22JC8775-ICE</stp>
        <stp>Last</stp>
        <tr r="J14" s="24"/>
      </tp>
      <tp>
        <v>4.16</v>
        <stp/>
        <stp>BRN 22JP8975-ICE</stp>
        <stp>Last</stp>
        <tr r="R22" s="24"/>
      </tp>
      <tp t="s">
        <v/>
        <stp/>
        <stp>BRN 22JP8875-ICE</stp>
        <stp>Last</stp>
        <tr r="R18" s="24"/>
      </tp>
      <tp>
        <v>3.43</v>
        <stp/>
        <stp>BRN 22JP8775-ICE</stp>
        <stp>Last</stp>
        <tr r="R14" s="24"/>
      </tp>
    </main>
    <main first="ice.xl">
      <tp>
        <v>835</v>
        <stp/>
        <stp>*Q</stp>
        <stp>O:IBM 22M132.00D28</stp>
        <stp>OpenInt</stp>
        <tr r="AA35" s="24"/>
      </tp>
      <tp>
        <v>747</v>
        <stp/>
        <stp>*Q</stp>
        <stp>O:IBM 22A132.00D28</stp>
        <stp>OpenInt</stp>
        <tr r="P35" s="24"/>
      </tp>
    </main>
    <main first="fsxl">
      <tp>
        <v>44588.655868055554</v>
        <stp/>
        <stp>BRN 22JP8900-ICE</stp>
        <stp>Time</stp>
        <tr r="S19" s="24"/>
      </tp>
      <tp>
        <v>44588.655833333331</v>
        <stp/>
        <stp>BRN 22JP8800-ICE</stp>
        <stp>Time</stp>
        <tr r="S15" s="24"/>
      </tp>
      <tp>
        <v>44588.655833333331</v>
        <stp/>
        <stp>BRN 22JC8900-ICE</stp>
        <stp>Time</stp>
        <tr r="K19" s="24"/>
      </tp>
      <tp>
        <v>44588.655833333331</v>
        <stp/>
        <stp>BRN 22JC8800-ICE</stp>
        <stp>Time</stp>
        <tr r="K15" s="24"/>
      </tp>
      <tp t="s">
        <v>Spread-Light Crude Oil-WTI</v>
        <stp/>
        <stp xml:space="preserve">WBS 18F:BRN18F-ICE </stp>
        <stp>Description</stp>
        <tr r="H11" s="20"/>
      </tp>
      <tp>
        <v>89</v>
        <stp/>
        <stp>%BRN 1!-ICE</stp>
        <stp>Low</stp>
        <tr r="K7" s="20"/>
      </tp>
    </main>
    <main first="fsxl">
      <tp>
        <v>44588.655868055554</v>
        <stp/>
        <stp>BRN 22JP8925-ICE</stp>
        <stp>Time</stp>
        <tr r="S20" s="24"/>
      </tp>
      <tp>
        <v>44588.655578703707</v>
        <stp/>
        <stp>BRN 22JP8825-ICE</stp>
        <stp>Time</stp>
        <tr r="S16" s="24"/>
      </tp>
      <tp>
        <v>44588.655833333331</v>
        <stp/>
        <stp>BRN 22JC8925-ICE</stp>
        <stp>Time</stp>
        <tr r="K20" s="24"/>
      </tp>
      <tp>
        <v>44588.655868055554</v>
        <stp/>
        <stp>BRN 22JC8825-ICE</stp>
        <stp>Time</stp>
        <tr r="K16" s="24"/>
      </tp>
    </main>
    <main first="fsxl">
      <tp>
        <v>-2.7800000000000011</v>
        <stp/>
        <stp>='WBS 1!-ICE' - 'BRN 1!-ICE'</stp>
        <stp>Low</stp>
        <tr r="K14" s="20"/>
      </tp>
    </main>
    <main first="ice.xl">
      <tp>
        <v>682</v>
        <stp/>
        <stp>*Q</stp>
        <stp>O:IBM 22M129.00D28</stp>
        <stp>OpenInt</stp>
        <tr r="AA32" s="24"/>
      </tp>
      <tp>
        <v>469</v>
        <stp/>
        <stp>*Q</stp>
        <stp>O:IBM 22A129.00D28</stp>
        <stp>OpenInt</stp>
        <tr r="P32" s="24"/>
      </tp>
    </main>
    <main first="fsxl">
      <tp>
        <v>44588.655868055554</v>
        <stp/>
        <stp>BRN 22JP8750-ICE</stp>
        <stp>Time</stp>
        <tr r="S13" s="24"/>
      </tp>
      <tp>
        <v>44588.655868055554</v>
        <stp/>
        <stp>BRN 22JP8950-ICE</stp>
        <stp>Time</stp>
        <tr r="S21" s="24"/>
      </tp>
      <tp>
        <v>44588.655833333331</v>
        <stp/>
        <stp>BRN 22JP8850-ICE</stp>
        <stp>Time</stp>
        <tr r="S17" s="24"/>
      </tp>
      <tp>
        <v>44588.655833333331</v>
        <stp/>
        <stp>BRN 22JC8750-ICE</stp>
        <stp>Time</stp>
        <tr r="K13" s="24"/>
      </tp>
      <tp>
        <v>44588.655868055554</v>
        <stp/>
        <stp>BRN 22JC8950-ICE</stp>
        <stp>Time</stp>
        <tr r="K21" s="24"/>
      </tp>
      <tp>
        <v>44588.655833333331</v>
        <stp/>
        <stp>BRN 22JC8850-ICE</stp>
        <stp>Time</stp>
        <tr r="K17" s="24"/>
      </tp>
    </main>
    <main first="ice.xl">
      <tp>
        <v>1102</v>
        <stp/>
        <stp>*Q</stp>
        <stp>O:IBM 22M128.00D28</stp>
        <stp>OpenInt</stp>
        <tr r="AA31" s="24"/>
      </tp>
      <tp>
        <v>424</v>
        <stp/>
        <stp>*Q</stp>
        <stp>O:IBM 22A128.00D28</stp>
        <stp>OpenInt</stp>
        <tr r="P31" s="24"/>
      </tp>
    </main>
    <main first="fsxl">
      <tp>
        <v>37</v>
        <stp/>
        <stp>BRN 22JC8975-ICE</stp>
        <stp>OpenInt</stp>
        <tr r="M22" s="24"/>
      </tp>
      <tp t="s">
        <v/>
        <stp/>
        <stp>BRN 22JP8975-ICE</stp>
        <stp>OpenInt</stp>
        <tr r="U22" s="24"/>
      </tp>
      <tp>
        <v>325</v>
        <stp/>
        <stp>BRN 22JC8950-ICE</stp>
        <stp>OpenInt</stp>
        <tr r="M21" s="24"/>
      </tp>
      <tp>
        <v>3</v>
        <stp/>
        <stp>BRN 22JP8950-ICE</stp>
        <stp>OpenInt</stp>
        <tr r="U21" s="24"/>
      </tp>
      <tp>
        <v>47</v>
        <stp/>
        <stp>BRN 22JC8925-ICE</stp>
        <stp>OpenInt</stp>
        <tr r="M20" s="24"/>
      </tp>
      <tp>
        <v>23</v>
        <stp/>
        <stp>BRN 22JP8925-ICE</stp>
        <stp>OpenInt</stp>
        <tr r="U20" s="24"/>
      </tp>
      <tp>
        <v>898</v>
        <stp/>
        <stp>BRN 22JC8900-ICE</stp>
        <stp>OpenInt</stp>
        <tr r="M19" s="24"/>
      </tp>
      <tp>
        <v>116</v>
        <stp/>
        <stp>BRN 22JP8900-ICE</stp>
        <stp>OpenInt</stp>
        <tr r="U19" s="24"/>
      </tp>
    </main>
    <main first="fsxl">
      <tp>
        <v>25</v>
        <stp/>
        <stp>BRN 22JC8875-ICE</stp>
        <stp>OpenInt</stp>
        <tr r="M18" s="24"/>
      </tp>
      <tp>
        <v>2</v>
        <stp/>
        <stp>BRN 22JP8875-ICE</stp>
        <stp>OpenInt</stp>
        <tr r="U18" s="24"/>
      </tp>
      <tp>
        <v>1362</v>
        <stp/>
        <stp>BRN 22JC8850-ICE</stp>
        <stp>OpenInt</stp>
        <tr r="M17" s="24"/>
      </tp>
      <tp>
        <v>7</v>
        <stp/>
        <stp>BRN 22JP8850-ICE</stp>
        <stp>OpenInt</stp>
        <tr r="U17" s="24"/>
      </tp>
      <tp>
        <v>18</v>
        <stp/>
        <stp>BRN 22JC8825-ICE</stp>
        <stp>OpenInt</stp>
        <tr r="M16" s="24"/>
      </tp>
      <tp>
        <v>10</v>
        <stp/>
        <stp>BRN 22JP8825-ICE</stp>
        <stp>OpenInt</stp>
        <tr r="U16" s="24"/>
      </tp>
      <tp>
        <v>44588.655868055554</v>
        <stp/>
        <stp>BRN 22JP8775-ICE</stp>
        <stp>Time</stp>
        <tr r="S14" s="24"/>
      </tp>
      <tp>
        <v>44588.655833333331</v>
        <stp/>
        <stp>BRN 22JP8975-ICE</stp>
        <stp>Time</stp>
        <tr r="S22" s="24"/>
      </tp>
      <tp>
        <v>44588.655868055554</v>
        <stp/>
        <stp>BRN 22JP8875-ICE</stp>
        <stp>Time</stp>
        <tr r="S18" s="24"/>
      </tp>
      <tp>
        <v>2446</v>
        <stp/>
        <stp>BRN 22JC8800-ICE</stp>
        <stp>OpenInt</stp>
        <tr r="M15" s="24"/>
      </tp>
      <tp>
        <v>611</v>
        <stp/>
        <stp>BRN 22JP8800-ICE</stp>
        <stp>OpenInt</stp>
        <tr r="U15" s="24"/>
      </tp>
      <tp>
        <v>44588.655659722222</v>
        <stp/>
        <stp>BRN 22JC8775-ICE</stp>
        <stp>Time</stp>
        <tr r="K14" s="24"/>
      </tp>
      <tp>
        <v>44588.655833333331</v>
        <stp/>
        <stp>BRN 22JC8975-ICE</stp>
        <stp>Time</stp>
        <tr r="K22" s="24"/>
      </tp>
      <tp>
        <v>44588.655868055554</v>
        <stp/>
        <stp>BRN 22JC8875-ICE</stp>
        <stp>Time</stp>
        <tr r="K18" s="24"/>
      </tp>
    </main>
  </volType>
</volType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volatileDependencies" Target="volatileDependenci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796925</xdr:colOff>
      <xdr:row>4</xdr:row>
      <xdr:rowOff>53975</xdr:rowOff>
    </xdr:from>
    <xdr:to>
      <xdr:col>3</xdr:col>
      <xdr:colOff>21209</xdr:colOff>
      <xdr:row>10</xdr:row>
      <xdr:rowOff>166751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11325" y="815975"/>
          <a:ext cx="1434084" cy="1255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xdr:colOff>
      <xdr:row>0</xdr:row>
      <xdr:rowOff>99060</xdr:rowOff>
    </xdr:from>
    <xdr:to>
      <xdr:col>2</xdr:col>
      <xdr:colOff>685800</xdr:colOff>
      <xdr:row>4</xdr:row>
      <xdr:rowOff>64910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69620" y="99060"/>
          <a:ext cx="662940" cy="6668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22860</xdr:colOff>
      <xdr:row>0</xdr:row>
      <xdr:rowOff>106680</xdr:rowOff>
    </xdr:from>
    <xdr:to>
      <xdr:col>2</xdr:col>
      <xdr:colOff>685800</xdr:colOff>
      <xdr:row>4</xdr:row>
      <xdr:rowOff>72530</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stretch>
          <a:fillRect/>
        </a:stretch>
      </xdr:blipFill>
      <xdr:spPr>
        <a:xfrm>
          <a:off x="769620" y="106680"/>
          <a:ext cx="662940" cy="6668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662940</xdr:colOff>
      <xdr:row>5</xdr:row>
      <xdr:rowOff>34430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746760" y="175260"/>
          <a:ext cx="662940" cy="6668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38100</xdr:colOff>
      <xdr:row>0</xdr:row>
      <xdr:rowOff>50800</xdr:rowOff>
    </xdr:from>
    <xdr:to>
      <xdr:col>3</xdr:col>
      <xdr:colOff>7620</xdr:colOff>
      <xdr:row>4</xdr:row>
      <xdr:rowOff>16650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784860" y="50800"/>
          <a:ext cx="670560" cy="6668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38100</xdr:colOff>
      <xdr:row>0</xdr:row>
      <xdr:rowOff>50800</xdr:rowOff>
    </xdr:from>
    <xdr:to>
      <xdr:col>3</xdr:col>
      <xdr:colOff>15240</xdr:colOff>
      <xdr:row>4</xdr:row>
      <xdr:rowOff>16650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784860" y="50800"/>
          <a:ext cx="678180" cy="6668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4</xdr:row>
      <xdr:rowOff>3950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676275" cy="708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4</xdr:row>
      <xdr:rowOff>3950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676275" cy="708800"/>
        </a:xfrm>
        <a:prstGeom prst="rect">
          <a:avLst/>
        </a:prstGeom>
      </xdr:spPr>
    </xdr:pic>
    <xdr:clientData/>
  </xdr:twoCellAnchor>
</xdr:wsDr>
</file>

<file path=xl/theme/theme1.xml><?xml version="1.0" encoding="utf-8"?>
<a:theme xmlns:a="http://schemas.openxmlformats.org/drawingml/2006/main" name="ICETheme">
  <a:themeElements>
    <a:clrScheme name="ICE Color Theme">
      <a:dk1>
        <a:srgbClr val="565A5C"/>
      </a:dk1>
      <a:lt1>
        <a:srgbClr val="FFFFFF"/>
      </a:lt1>
      <a:dk2>
        <a:srgbClr val="0039A6"/>
      </a:dk2>
      <a:lt2>
        <a:srgbClr val="FFFFFF"/>
      </a:lt2>
      <a:accent1>
        <a:srgbClr val="72C7E7"/>
      </a:accent1>
      <a:accent2>
        <a:srgbClr val="0039A6"/>
      </a:accent2>
      <a:accent3>
        <a:srgbClr val="76D750"/>
      </a:accent3>
      <a:accent4>
        <a:srgbClr val="565A5C"/>
      </a:accent4>
      <a:accent5>
        <a:srgbClr val="A2A4A3"/>
      </a:accent5>
      <a:accent6>
        <a:srgbClr val="FFA02F"/>
      </a:accent6>
      <a:hlink>
        <a:srgbClr val="0039A6"/>
      </a:hlink>
      <a:folHlink>
        <a:srgbClr val="0039A6"/>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39A6"/>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effectLst/>
      </a:spPr>
      <a:bodyPr/>
      <a:lstStyle/>
      <a:style>
        <a:lnRef idx="2">
          <a:schemeClr val="accent1"/>
        </a:lnRef>
        <a:fillRef idx="0">
          <a:schemeClr val="accent1"/>
        </a:fillRef>
        <a:effectRef idx="1">
          <a:schemeClr val="accent1"/>
        </a:effectRef>
        <a:fontRef idx="minor">
          <a:schemeClr val="tx1"/>
        </a:fontRef>
      </a:style>
    </a:lnDef>
    <a:txDef>
      <a:spPr>
        <a:noFill/>
      </a:spPr>
      <a:bodyPr wrap="square" rtlCol="0">
        <a:spAutoFit/>
      </a:bodyPr>
      <a:lstStyle>
        <a:defPPr>
          <a:defRPr sz="1400" dirty="0" smtClean="0">
            <a:latin typeface="Trade Gothic LT"/>
            <a:cs typeface="Trade Gothic LT"/>
          </a:defRPr>
        </a:defPPr>
      </a:lstStyle>
    </a:txDef>
  </a:objectDefaults>
  <a:extraClrSchemeLst/>
  <a:extLst>
    <a:ext uri="{05A4C25C-085E-4340-85A3-A5531E510DB2}">
      <thm15:themeFamily xmlns:thm15="http://schemas.microsoft.com/office/thememl/2012/main" name="ICETheme" id="{6D39A084-331B-314C-8A21-19E127FECF5D}" vid="{FB0E840D-F51D-2344-BF67-9A127201B9F8}"/>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sheetPr>
  <dimension ref="C13:C17"/>
  <sheetViews>
    <sheetView topLeftCell="A4" workbookViewId="0">
      <selection activeCell="D17" sqref="D17"/>
    </sheetView>
  </sheetViews>
  <sheetFormatPr defaultColWidth="10.6640625" defaultRowHeight="15" x14ac:dyDescent="0.2"/>
  <cols>
    <col min="1" max="2" width="10.6640625" style="4"/>
    <col min="3" max="3" width="15.109375" style="4" bestFit="1" customWidth="1"/>
    <col min="4" max="16384" width="10.6640625" style="4"/>
  </cols>
  <sheetData>
    <row r="13" spans="3:3" ht="30" x14ac:dyDescent="0.4">
      <c r="C13" s="57" t="s">
        <v>65</v>
      </c>
    </row>
    <row r="15" spans="3:3" x14ac:dyDescent="0.2">
      <c r="C15" s="5" t="s">
        <v>76</v>
      </c>
    </row>
    <row r="16" spans="3:3" x14ac:dyDescent="0.2">
      <c r="C16" s="56">
        <f ca="1">TODAY()</f>
        <v>44588</v>
      </c>
    </row>
    <row r="17" spans="3:3" x14ac:dyDescent="0.2">
      <c r="C17" s="49"/>
    </row>
  </sheetData>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9997558519241921"/>
  </sheetPr>
  <dimension ref="A2:AJ39"/>
  <sheetViews>
    <sheetView workbookViewId="0">
      <selection activeCell="H55" sqref="H55"/>
    </sheetView>
  </sheetViews>
  <sheetFormatPr defaultColWidth="7.5546875" defaultRowHeight="14.25" x14ac:dyDescent="0.2"/>
  <cols>
    <col min="1" max="1" width="1.33203125" style="58" customWidth="1"/>
    <col min="2" max="2" width="7.5546875" style="58"/>
    <col min="3" max="3" width="8.33203125" style="58" bestFit="1" customWidth="1"/>
    <col min="4" max="4" width="7.5546875" style="58"/>
    <col min="5" max="5" width="1.33203125" style="58" customWidth="1"/>
    <col min="6" max="6" width="2.6640625" style="1" customWidth="1"/>
    <col min="7" max="7" width="28.109375" style="1" bestFit="1" customWidth="1"/>
    <col min="8" max="8" width="44.6640625" style="1" customWidth="1"/>
    <col min="9" max="9" width="6.109375" style="1" customWidth="1"/>
    <col min="10" max="10" width="12.33203125" style="1" customWidth="1"/>
    <col min="11" max="11" width="13" style="1" customWidth="1"/>
    <col min="12" max="12" width="11.33203125" style="1" customWidth="1"/>
    <col min="13" max="13" width="10.88671875" style="1" customWidth="1"/>
    <col min="14" max="14" width="13.109375" style="1" customWidth="1"/>
    <col min="15" max="15" width="12.6640625" style="1" customWidth="1"/>
    <col min="16" max="16" width="7.5546875" style="1" customWidth="1"/>
    <col min="17" max="17" width="9.5546875" style="1" bestFit="1" customWidth="1"/>
    <col min="18" max="19" width="9.88671875" style="1" customWidth="1"/>
    <col min="20" max="20" width="10.88671875" style="1" customWidth="1"/>
    <col min="21" max="22" width="7.5546875" style="1" customWidth="1"/>
    <col min="23" max="31" width="7.5546875" style="1"/>
    <col min="32" max="16384" width="7.5546875" style="2"/>
  </cols>
  <sheetData>
    <row r="2" spans="1:36" ht="20.25" x14ac:dyDescent="0.3">
      <c r="I2" s="52" t="s">
        <v>38</v>
      </c>
      <c r="J2" s="52"/>
      <c r="K2" s="52"/>
      <c r="L2" s="52"/>
      <c r="AB2" s="2"/>
      <c r="AC2" s="2"/>
      <c r="AD2" s="2"/>
      <c r="AE2" s="2"/>
    </row>
    <row r="4" spans="1:36" ht="6.75" customHeight="1" x14ac:dyDescent="0.2"/>
    <row r="5" spans="1:36" ht="15" x14ac:dyDescent="0.25">
      <c r="B5" s="59"/>
      <c r="C5" s="59"/>
      <c r="D5" s="59"/>
    </row>
    <row r="6" spans="1:36" s="1" customFormat="1" ht="15" x14ac:dyDescent="0.25">
      <c r="A6" s="58"/>
      <c r="B6" s="58"/>
      <c r="C6" s="58"/>
      <c r="D6" s="58"/>
      <c r="E6" s="58"/>
      <c r="G6" s="20" t="str">
        <f>_xll.QuoteIDC(G7:G9,H6:O6,"Title=SYMBOL")</f>
        <v>Quote Table</v>
      </c>
      <c r="H6" s="8" t="s">
        <v>21</v>
      </c>
      <c r="I6" s="8" t="s">
        <v>22</v>
      </c>
      <c r="J6" s="8" t="s">
        <v>23</v>
      </c>
      <c r="K6" s="21" t="s">
        <v>24</v>
      </c>
      <c r="L6" s="8" t="s">
        <v>1</v>
      </c>
      <c r="M6" s="8" t="s">
        <v>25</v>
      </c>
      <c r="N6" s="8" t="s">
        <v>26</v>
      </c>
      <c r="O6" s="8" t="s">
        <v>27</v>
      </c>
      <c r="P6" s="13"/>
      <c r="Q6" s="51"/>
      <c r="R6" s="51"/>
      <c r="S6" s="51"/>
      <c r="T6" s="51"/>
      <c r="U6" s="13"/>
      <c r="V6" s="13"/>
      <c r="AF6" s="2"/>
      <c r="AG6" s="2"/>
      <c r="AH6" s="2"/>
      <c r="AI6" s="2"/>
      <c r="AJ6" s="2"/>
    </row>
    <row r="7" spans="1:36" s="1" customFormat="1" ht="13.9" customHeight="1" x14ac:dyDescent="0.25">
      <c r="A7" s="58"/>
      <c r="B7" s="50" t="s">
        <v>38</v>
      </c>
      <c r="C7" s="50"/>
      <c r="D7" s="50"/>
      <c r="E7" s="58"/>
      <c r="G7" s="15" t="s">
        <v>28</v>
      </c>
      <c r="H7" s="23" t="str">
        <f>RTD("fsxl",,$G7,_xll.FSFldID(H$6))</f>
        <v>BRENT CRUDE OIL</v>
      </c>
      <c r="I7" s="23">
        <f>RTD("fsxl",,$G7,_xll.FSFldID(I$6))</f>
        <v>89.7</v>
      </c>
      <c r="J7" s="23">
        <f>RTD("fsxl",,$G7,_xll.FSFldID(J$6))</f>
        <v>91.04</v>
      </c>
      <c r="K7" s="23">
        <f>RTD("fsxl",,$G7,_xll.FSFldID(K$6))</f>
        <v>89</v>
      </c>
      <c r="L7" s="23">
        <f>RTD("fsxl",,$G7,_xll.FSFldID(L$6))</f>
        <v>89.88</v>
      </c>
      <c r="M7" s="23">
        <f>RTD("fsxl",,$G7,_xll.FSFldID(M$6))</f>
        <v>131572</v>
      </c>
      <c r="N7" s="23">
        <f>RTD("fsxl",,$G7,_xll.FSFldID(N$6))</f>
        <v>141749</v>
      </c>
      <c r="O7" s="23">
        <f>RTD("fsxl",,$G7,_xll.FSFldID(O$6))</f>
        <v>-0.08</v>
      </c>
      <c r="P7" s="13"/>
      <c r="Q7" s="14"/>
      <c r="R7" s="16"/>
      <c r="S7" s="16"/>
      <c r="T7" s="16"/>
      <c r="U7" s="13"/>
      <c r="V7" s="13"/>
      <c r="AF7" s="2"/>
      <c r="AG7" s="2"/>
      <c r="AH7" s="2"/>
      <c r="AI7" s="2"/>
      <c r="AJ7" s="2"/>
    </row>
    <row r="8" spans="1:36" s="1" customFormat="1" ht="15" x14ac:dyDescent="0.25">
      <c r="A8" s="58"/>
      <c r="B8" s="50" t="s">
        <v>67</v>
      </c>
      <c r="C8" s="50"/>
      <c r="D8" s="50"/>
      <c r="E8" s="58"/>
      <c r="G8" s="15" t="s">
        <v>29</v>
      </c>
      <c r="H8" s="23" t="str">
        <f>RTD("fsxl",,$G8,_xll.FSFldID(H$6))</f>
        <v>LIGHT CRUDE OIL-WTI</v>
      </c>
      <c r="I8" s="23">
        <f>RTD("fsxl",,$G8,_xll.FSFldID(I$6))</f>
        <v>87.17</v>
      </c>
      <c r="J8" s="23">
        <f>RTD("fsxl",,$G8,_xll.FSFldID(J$6))</f>
        <v>88.55</v>
      </c>
      <c r="K8" s="23">
        <f>RTD("fsxl",,$G8,_xll.FSFldID(K$6))</f>
        <v>86.22</v>
      </c>
      <c r="L8" s="23">
        <f>RTD("fsxl",,$G8,_xll.FSFldID(L$6))</f>
        <v>87.2</v>
      </c>
      <c r="M8" s="23">
        <f>RTD("fsxl",,$G8,_xll.FSFldID(M$6))</f>
        <v>39578</v>
      </c>
      <c r="N8" s="23">
        <f>RTD("fsxl",,$G8,_xll.FSFldID(N$6))</f>
        <v>65955</v>
      </c>
      <c r="O8" s="23">
        <f>RTD("fsxl",,$G8,_xll.FSFldID(O$6))</f>
        <v>-0.15</v>
      </c>
      <c r="P8" s="13"/>
      <c r="Q8" s="15"/>
      <c r="R8" s="13"/>
      <c r="S8" s="13"/>
      <c r="T8" s="13"/>
      <c r="U8" s="13"/>
      <c r="V8" s="13"/>
      <c r="AF8" s="2"/>
      <c r="AG8" s="2"/>
      <c r="AH8" s="2"/>
      <c r="AI8" s="2"/>
      <c r="AJ8" s="2"/>
    </row>
    <row r="9" spans="1:36" s="1" customFormat="1" ht="13.9" customHeight="1" x14ac:dyDescent="0.25">
      <c r="A9" s="58"/>
      <c r="B9" s="50"/>
      <c r="C9" s="50"/>
      <c r="D9" s="50"/>
      <c r="E9" s="58"/>
      <c r="G9" s="15" t="s">
        <v>30</v>
      </c>
      <c r="H9" s="23" t="str">
        <f>RTD("fsxl",,$G9,_xll.FSFldID(H$6))</f>
        <v>GAS OIL</v>
      </c>
      <c r="I9" s="23">
        <f>RTD("fsxl",,$G9,_xll.FSFldID(I$6))</f>
        <v>759.25</v>
      </c>
      <c r="J9" s="23">
        <f>RTD("fsxl",,$G9,_xll.FSFldID(J$6))</f>
        <v>771.75</v>
      </c>
      <c r="K9" s="23">
        <f>RTD("fsxl",,$G9,_xll.FSFldID(K$6))</f>
        <v>754.75</v>
      </c>
      <c r="L9" s="23">
        <f>RTD("fsxl",,$G9,_xll.FSFldID(L$6))</f>
        <v>770.5</v>
      </c>
      <c r="M9" s="23">
        <f>RTD("fsxl",,$G9,_xll.FSFldID(M$6))</f>
        <v>86180</v>
      </c>
      <c r="N9" s="23">
        <f>RTD("fsxl",,$G9,_xll.FSFldID(N$6))</f>
        <v>75746</v>
      </c>
      <c r="O9" s="23">
        <f>RTD("fsxl",,$G9,_xll.FSFldID(O$6))</f>
        <v>6</v>
      </c>
      <c r="P9" s="13"/>
      <c r="Q9" s="15"/>
      <c r="R9" s="13"/>
      <c r="S9" s="13"/>
      <c r="T9" s="13"/>
      <c r="U9" s="13"/>
      <c r="V9" s="13"/>
      <c r="AF9" s="2"/>
      <c r="AG9" s="2"/>
      <c r="AH9" s="2"/>
      <c r="AI9" s="2"/>
      <c r="AJ9" s="2"/>
    </row>
    <row r="10" spans="1:36" s="1" customFormat="1" ht="15" x14ac:dyDescent="0.25">
      <c r="A10" s="58"/>
      <c r="B10" s="50"/>
      <c r="C10" s="50"/>
      <c r="D10" s="50"/>
      <c r="E10" s="58"/>
      <c r="G10" s="15"/>
      <c r="H10" s="23"/>
      <c r="I10" s="23"/>
      <c r="J10" s="23"/>
      <c r="K10" s="23"/>
      <c r="L10" s="23"/>
      <c r="M10" s="23"/>
      <c r="N10" s="23"/>
      <c r="O10" s="23"/>
      <c r="P10" s="13"/>
      <c r="Q10" s="15"/>
      <c r="R10" s="13"/>
      <c r="S10" s="13"/>
      <c r="T10" s="13"/>
      <c r="U10" s="13"/>
      <c r="V10" s="13"/>
      <c r="AF10" s="2"/>
      <c r="AG10" s="2"/>
      <c r="AH10" s="2"/>
      <c r="AI10" s="2"/>
      <c r="AJ10" s="2"/>
    </row>
    <row r="11" spans="1:36" s="1" customFormat="1" ht="15" customHeight="1" x14ac:dyDescent="0.25">
      <c r="A11" s="58"/>
      <c r="B11" s="50"/>
      <c r="C11" s="50"/>
      <c r="D11" s="50"/>
      <c r="E11" s="58"/>
      <c r="G11" s="26" t="s">
        <v>31</v>
      </c>
      <c r="H11" s="33" t="str">
        <f>RTD("fsxl",,$G11,_xll.FSFldID(H$6))</f>
        <v>Spread-Light Crude Oil-WTI</v>
      </c>
      <c r="I11" s="33" t="str">
        <f>RTD("fsxl",,$G11,_xll.FSFldID(I$6))</f>
        <v/>
      </c>
      <c r="J11" s="33" t="str">
        <f>RTD("fsxl",,$G11,_xll.FSFldID(J$6))</f>
        <v/>
      </c>
      <c r="K11" s="33" t="str">
        <f>RTD("fsxl",,$G11,_xll.FSFldID(K$6))</f>
        <v/>
      </c>
      <c r="L11" s="33" t="str">
        <f>RTD("fsxl",,$G11,_xll.FSFldID(L$6))</f>
        <v/>
      </c>
      <c r="M11" s="33" t="str">
        <f>RTD("fsxl",,$G11,_xll.FSFldID(M$6))</f>
        <v/>
      </c>
      <c r="N11" s="33" t="str">
        <f>RTD("fsxl",,$G11,_xll.FSFldID(N$6))</f>
        <v/>
      </c>
      <c r="O11" s="33" t="str">
        <f>RTD("fsxl",,$G11,_xll.FSFldID(O$6))</f>
        <v/>
      </c>
      <c r="P11" s="13"/>
      <c r="Q11" s="13"/>
      <c r="R11" s="13"/>
      <c r="S11" s="13"/>
      <c r="T11" s="13"/>
      <c r="U11" s="13"/>
      <c r="V11" s="13"/>
      <c r="AF11" s="2"/>
      <c r="AG11" s="2"/>
      <c r="AH11" s="2"/>
      <c r="AI11" s="2"/>
      <c r="AJ11" s="2"/>
    </row>
    <row r="12" spans="1:36" s="1" customFormat="1" ht="15" x14ac:dyDescent="0.25">
      <c r="A12" s="58"/>
      <c r="B12" s="50"/>
      <c r="C12" s="50"/>
      <c r="D12" s="50"/>
      <c r="E12" s="58"/>
      <c r="G12" s="22" t="s">
        <v>32</v>
      </c>
      <c r="H12" s="23" t="str">
        <f>RTD("fsxl",,$G12,_xll.FSFldID(H$6))</f>
        <v>SPREAD-LIGHT CRUDE OIL-WTI</v>
      </c>
      <c r="I12" s="23">
        <f>RTD("fsxl",,$G12,_xll.FSFldID(I$6))</f>
        <v>1.37</v>
      </c>
      <c r="J12" s="23">
        <f>RTD("fsxl",,$G12,_xll.FSFldID(J$6))</f>
        <v>1.47</v>
      </c>
      <c r="K12" s="23">
        <f>RTD("fsxl",,$G12,_xll.FSFldID(K$6))</f>
        <v>1.27</v>
      </c>
      <c r="L12" s="23">
        <f>RTD("fsxl",,$G12,_xll.FSFldID(L$6))</f>
        <v>1.37</v>
      </c>
      <c r="M12" s="23">
        <f>RTD("fsxl",,$G12,_xll.FSFldID(M$6))</f>
        <v>21874</v>
      </c>
      <c r="N12" s="23" t="str">
        <f>RTD("fsxl",,$G12,_xll.FSFldID(N$6))</f>
        <v/>
      </c>
      <c r="O12" s="23">
        <f>RTD("fsxl",,$G12,_xll.FSFldID(O$6))</f>
        <v>-0.02</v>
      </c>
      <c r="P12" s="13"/>
      <c r="Q12" s="51"/>
      <c r="R12" s="51"/>
      <c r="S12" s="51"/>
      <c r="T12" s="51"/>
      <c r="U12" s="13"/>
      <c r="V12" s="13"/>
      <c r="AF12" s="2"/>
      <c r="AG12" s="2"/>
      <c r="AH12" s="2"/>
      <c r="AI12" s="2"/>
      <c r="AJ12" s="2"/>
    </row>
    <row r="13" spans="1:36" s="1" customFormat="1" ht="15" x14ac:dyDescent="0.25">
      <c r="A13" s="58"/>
      <c r="B13" s="50" t="s">
        <v>68</v>
      </c>
      <c r="C13" s="50"/>
      <c r="D13" s="50"/>
      <c r="E13" s="58"/>
      <c r="G13" s="15" t="s">
        <v>33</v>
      </c>
      <c r="H13" s="23" t="str">
        <f>RTD("fsxl",,$G13,_xll.FSFldID(H$6))</f>
        <v>HEATING OIL</v>
      </c>
      <c r="I13" s="23">
        <f>RTD("fsxl",,$G13,_xll.FSFldID(I$6))</f>
        <v>5.1999999999999998E-3</v>
      </c>
      <c r="J13" s="23">
        <f>RTD("fsxl",,$G13,_xll.FSFldID(J$6))</f>
        <v>7.4000000000000003E-3</v>
      </c>
      <c r="K13" s="23">
        <f>RTD("fsxl",,$G13,_xll.FSFldID(K$6))</f>
        <v>5.0000000000000001E-3</v>
      </c>
      <c r="L13" s="23">
        <f>RTD("fsxl",,$G13,_xll.FSFldID(L$6))</f>
        <v>6.0000000000000001E-3</v>
      </c>
      <c r="M13" s="23">
        <f>RTD("fsxl",,$G13,_xll.FSFldID(M$6))</f>
        <v>374</v>
      </c>
      <c r="N13" s="23" t="str">
        <f>RTD("fsxl",,$G13,_xll.FSFldID(N$6))</f>
        <v/>
      </c>
      <c r="O13" s="23">
        <f>RTD("fsxl",,$G13,_xll.FSFldID(O$6))</f>
        <v>2.9999999999999997E-4</v>
      </c>
      <c r="P13" s="13"/>
      <c r="Q13" s="14"/>
      <c r="R13" s="17"/>
      <c r="S13" s="17"/>
      <c r="T13" s="17"/>
      <c r="U13" s="13"/>
      <c r="V13" s="13"/>
      <c r="AF13" s="2"/>
      <c r="AG13" s="2"/>
      <c r="AH13" s="2"/>
      <c r="AI13" s="2"/>
      <c r="AJ13" s="2"/>
    </row>
    <row r="14" spans="1:36" s="1" customFormat="1" ht="13.9" customHeight="1" x14ac:dyDescent="0.25">
      <c r="A14" s="58"/>
      <c r="B14" s="50"/>
      <c r="C14" s="50"/>
      <c r="D14" s="50"/>
      <c r="E14" s="58"/>
      <c r="G14" s="15" t="s">
        <v>34</v>
      </c>
      <c r="H14" s="24" t="s">
        <v>41</v>
      </c>
      <c r="I14" s="23">
        <f>RTD("fsxl",,$G14,_xll.FSFldID(I$6))</f>
        <v>-2.5300000000000011</v>
      </c>
      <c r="J14" s="23">
        <f>RTD("fsxl",,$G14,_xll.FSFldID(J$6))</f>
        <v>-2.4900000000000091</v>
      </c>
      <c r="K14" s="23">
        <f>RTD("fsxl",,$G14,_xll.FSFldID(K$6))</f>
        <v>-2.7800000000000011</v>
      </c>
      <c r="L14" s="23">
        <f>RTD("fsxl",,$G14,_xll.FSFldID(L$6))</f>
        <v>-2.6799999999999926</v>
      </c>
      <c r="M14" s="23" t="str">
        <f>RTD("fsxl",,$G14,_xll.FSFldID(M$6))</f>
        <v/>
      </c>
      <c r="N14" s="23" t="str">
        <f>RTD("fsxl",,$G14,_xll.FSFldID(N$6))</f>
        <v/>
      </c>
      <c r="O14" s="23">
        <f>RTD("fsxl",,$G14,_xll.FSFldID(O$6))</f>
        <v>-6.9999999999993179E-2</v>
      </c>
      <c r="P14" s="13"/>
      <c r="Q14" s="15"/>
      <c r="R14" s="13"/>
      <c r="S14" s="13"/>
      <c r="T14" s="13"/>
      <c r="U14" s="13"/>
      <c r="V14" s="13"/>
      <c r="AF14" s="2"/>
      <c r="AG14" s="2"/>
      <c r="AH14" s="2"/>
      <c r="AI14" s="2"/>
      <c r="AJ14" s="2"/>
    </row>
    <row r="15" spans="1:36" s="1" customFormat="1" ht="15" x14ac:dyDescent="0.25">
      <c r="A15" s="58"/>
      <c r="B15" s="50"/>
      <c r="C15" s="50"/>
      <c r="D15" s="50"/>
      <c r="E15" s="58"/>
      <c r="G15" s="15"/>
      <c r="H15" s="24"/>
      <c r="I15" s="23"/>
      <c r="J15" s="23"/>
      <c r="K15" s="23"/>
      <c r="L15" s="23"/>
      <c r="M15" s="23"/>
      <c r="N15" s="23"/>
      <c r="O15" s="23"/>
      <c r="P15" s="13"/>
      <c r="Q15" s="15"/>
      <c r="R15" s="13"/>
      <c r="S15" s="13"/>
      <c r="T15" s="13"/>
      <c r="U15" s="13"/>
      <c r="V15" s="13"/>
      <c r="AF15" s="2"/>
      <c r="AG15" s="2"/>
      <c r="AH15" s="2"/>
      <c r="AI15" s="2"/>
      <c r="AJ15" s="2"/>
    </row>
    <row r="16" spans="1:36" s="1" customFormat="1" ht="15" x14ac:dyDescent="0.25">
      <c r="A16" s="58"/>
      <c r="B16" s="50"/>
      <c r="C16" s="50"/>
      <c r="D16" s="50"/>
      <c r="E16" s="58"/>
      <c r="G16" s="26" t="s">
        <v>35</v>
      </c>
      <c r="H16" s="27" t="s">
        <v>40</v>
      </c>
      <c r="I16" s="33">
        <f>RTD("fsxl",,$G16,_xll.FSFldID(I$6))</f>
        <v>18.794999999999987</v>
      </c>
      <c r="J16" s="33">
        <f>RTD("fsxl",,$G16,_xll.FSFldID(J$6))</f>
        <v>19.979399999999998</v>
      </c>
      <c r="K16" s="33">
        <f>RTD("fsxl",,$G16,_xll.FSFldID(K$6))</f>
        <v>18.794999999999987</v>
      </c>
      <c r="L16" s="33">
        <f>RTD("fsxl",,$G16,_xll.FSFldID(L$6))</f>
        <v>20.033799999999999</v>
      </c>
      <c r="M16" s="33" t="str">
        <f>RTD("fsxl",,$G16,_xll.FSFldID(M$6))</f>
        <v/>
      </c>
      <c r="N16" s="33" t="str">
        <f>RTD("fsxl",,$G16,_xll.FSFldID(N$6))</f>
        <v/>
      </c>
      <c r="O16" s="33">
        <f>RTD("fsxl",,$G16,_xll.FSFldID(O$6))</f>
        <v>1.4093999999999909</v>
      </c>
      <c r="P16" s="13"/>
      <c r="Q16" s="15"/>
      <c r="R16" s="13"/>
      <c r="S16" s="13"/>
      <c r="T16" s="13"/>
      <c r="U16" s="13"/>
      <c r="V16" s="13"/>
      <c r="AF16" s="2"/>
      <c r="AG16" s="2"/>
      <c r="AH16" s="2"/>
      <c r="AI16" s="2"/>
      <c r="AJ16" s="2"/>
    </row>
    <row r="17" spans="1:36" s="1" customFormat="1" ht="15" customHeight="1" x14ac:dyDescent="0.25">
      <c r="A17" s="58"/>
      <c r="B17" s="50"/>
      <c r="C17" s="50"/>
      <c r="D17" s="50"/>
      <c r="E17" s="58"/>
      <c r="G17" s="15" t="s">
        <v>36</v>
      </c>
      <c r="H17" s="24" t="s">
        <v>39</v>
      </c>
      <c r="I17" s="23">
        <f>RTD("fsxl",,$G17,_xll.FSFldID(I$6))</f>
        <v>4.0713333333333335</v>
      </c>
      <c r="J17" s="23">
        <f>RTD("fsxl",,$G17,_xll.FSFldID(J$6))</f>
        <v>5.3553333333333333</v>
      </c>
      <c r="K17" s="23">
        <f>RTD("fsxl",,$G17,_xll.FSFldID(K$6))</f>
        <v>4.0633333333333335</v>
      </c>
      <c r="L17" s="23">
        <f>RTD("fsxl",,$G17,_xll.FSFldID(L$6))</f>
        <v>4.9563333333333333</v>
      </c>
      <c r="M17" s="23" t="str">
        <f>RTD("fsxl",,$G17,_xll.FSFldID(M$6))</f>
        <v/>
      </c>
      <c r="N17" s="23" t="str">
        <f>RTD("fsxl",,$G17,_xll.FSFldID(N$6))</f>
        <v/>
      </c>
      <c r="O17" s="23">
        <f>RTD("fsxl",,$G17,_xll.FSFldID(O$6))</f>
        <v>0.84833333333333361</v>
      </c>
      <c r="P17" s="13"/>
      <c r="Q17" s="13"/>
      <c r="R17" s="13"/>
      <c r="S17" s="13"/>
      <c r="T17" s="13"/>
      <c r="U17" s="13"/>
      <c r="V17" s="13"/>
      <c r="AF17" s="2"/>
      <c r="AG17" s="2"/>
      <c r="AH17" s="2"/>
      <c r="AI17" s="2"/>
      <c r="AJ17" s="2"/>
    </row>
    <row r="18" spans="1:36" s="1" customFormat="1" ht="15" x14ac:dyDescent="0.25">
      <c r="A18" s="58"/>
      <c r="B18" s="58"/>
      <c r="C18" s="58"/>
      <c r="D18" s="58"/>
      <c r="E18" s="58"/>
      <c r="G18" s="22" t="s">
        <v>37</v>
      </c>
      <c r="H18" s="24" t="s">
        <v>42</v>
      </c>
      <c r="I18" s="23">
        <f>RTD("fsxl",,$G18,_xll.FSFldID(I$6))</f>
        <v>23.212800000000001</v>
      </c>
      <c r="J18" s="23">
        <f>RTD("fsxl",,$G18,_xll.FSFldID(J$6))</f>
        <v>25.656199999999998</v>
      </c>
      <c r="K18" s="23">
        <f>RTD("fsxl",,$G18,_xll.FSFldID(K$6))</f>
        <v>23.181999999999988</v>
      </c>
      <c r="L18" s="23">
        <f>RTD("fsxl",,$G18,_xll.FSFldID(L$6))</f>
        <v>25.5822</v>
      </c>
      <c r="M18" s="23" t="str">
        <f>RTD("fsxl",,$G18,_xll.FSFldID(M$6))</f>
        <v/>
      </c>
      <c r="N18" s="23" t="str">
        <f>RTD("fsxl",,$G18,_xll.FSFldID(N$6))</f>
        <v/>
      </c>
      <c r="O18" s="23">
        <f>RTD("fsxl",,$G18,_xll.FSFldID(O$6))</f>
        <v>2.4823999999999984</v>
      </c>
      <c r="P18" s="13"/>
      <c r="Q18" s="51"/>
      <c r="R18" s="51"/>
      <c r="S18" s="51"/>
      <c r="T18" s="51"/>
      <c r="U18" s="13"/>
      <c r="V18" s="13"/>
      <c r="AF18" s="2"/>
      <c r="AG18" s="2"/>
      <c r="AH18" s="2"/>
      <c r="AI18" s="2"/>
      <c r="AJ18" s="2"/>
    </row>
    <row r="19" spans="1:36" s="1" customFormat="1" ht="15" x14ac:dyDescent="0.25">
      <c r="A19" s="58"/>
      <c r="B19" s="58"/>
      <c r="C19" s="58"/>
      <c r="D19" s="58"/>
      <c r="E19" s="58"/>
      <c r="G19" s="14"/>
      <c r="H19" s="15"/>
      <c r="I19" s="15"/>
      <c r="J19" s="15"/>
      <c r="K19" s="13"/>
      <c r="L19" s="14"/>
      <c r="M19" s="15"/>
      <c r="N19" s="15"/>
      <c r="O19" s="15"/>
      <c r="P19" s="13"/>
      <c r="Q19" s="14"/>
      <c r="R19" s="16"/>
      <c r="S19" s="16"/>
      <c r="T19" s="16"/>
      <c r="U19" s="13"/>
      <c r="V19" s="13"/>
      <c r="AF19" s="2"/>
      <c r="AG19" s="2"/>
      <c r="AH19" s="2"/>
      <c r="AI19" s="2"/>
      <c r="AJ19" s="2"/>
    </row>
    <row r="20" spans="1:36" s="1" customFormat="1" ht="15" x14ac:dyDescent="0.25">
      <c r="A20" s="58"/>
      <c r="B20" s="58"/>
      <c r="C20" s="58"/>
      <c r="D20" s="58"/>
      <c r="E20" s="58"/>
      <c r="G20" s="15"/>
      <c r="H20" s="13"/>
      <c r="I20" s="13"/>
      <c r="J20" s="13"/>
      <c r="K20" s="13"/>
      <c r="L20" s="15"/>
      <c r="M20" s="13"/>
      <c r="N20" s="13"/>
      <c r="O20" s="13"/>
      <c r="P20" s="13"/>
      <c r="Q20" s="15"/>
      <c r="R20" s="18"/>
      <c r="S20" s="18"/>
      <c r="T20" s="18"/>
      <c r="U20" s="13"/>
      <c r="V20" s="13"/>
      <c r="AF20" s="2"/>
      <c r="AG20" s="2"/>
      <c r="AH20" s="2"/>
      <c r="AI20" s="2"/>
      <c r="AJ20" s="2"/>
    </row>
    <row r="21" spans="1:36" s="1" customFormat="1" ht="15" x14ac:dyDescent="0.25">
      <c r="A21" s="58"/>
      <c r="B21" s="58"/>
      <c r="C21" s="58"/>
      <c r="D21" s="58"/>
      <c r="E21" s="58"/>
      <c r="G21" s="15"/>
      <c r="H21" s="13"/>
      <c r="I21" s="13"/>
      <c r="J21" s="13"/>
      <c r="K21" s="13"/>
      <c r="L21" s="15"/>
      <c r="M21" s="13"/>
      <c r="N21" s="13"/>
      <c r="O21" s="13"/>
      <c r="P21" s="13"/>
      <c r="Q21" s="15"/>
      <c r="R21" s="18"/>
      <c r="S21" s="18"/>
      <c r="T21" s="18"/>
      <c r="U21" s="13"/>
      <c r="V21" s="13"/>
      <c r="AF21" s="2"/>
      <c r="AG21" s="2"/>
      <c r="AH21" s="2"/>
      <c r="AI21" s="2"/>
      <c r="AJ21" s="2"/>
    </row>
    <row r="22" spans="1:36" s="1" customFormat="1" ht="15" customHeight="1" x14ac:dyDescent="0.2">
      <c r="A22" s="58"/>
      <c r="B22" s="58"/>
      <c r="C22" s="58"/>
      <c r="D22" s="58"/>
      <c r="E22" s="58"/>
      <c r="G22" s="13"/>
      <c r="H22" s="13"/>
      <c r="I22" s="13"/>
      <c r="J22" s="13"/>
      <c r="K22" s="13"/>
      <c r="L22" s="13"/>
      <c r="M22" s="13"/>
      <c r="N22" s="13"/>
      <c r="O22" s="13"/>
      <c r="P22" s="13"/>
      <c r="Q22" s="13"/>
      <c r="R22" s="13"/>
      <c r="S22" s="13"/>
      <c r="T22" s="13"/>
      <c r="U22" s="13"/>
      <c r="V22" s="13"/>
      <c r="AF22" s="2"/>
      <c r="AG22" s="2"/>
      <c r="AH22" s="2"/>
      <c r="AI22" s="2"/>
      <c r="AJ22" s="2"/>
    </row>
    <row r="23" spans="1:36" s="1" customFormat="1" ht="15" x14ac:dyDescent="0.25">
      <c r="A23" s="58"/>
      <c r="B23" s="58"/>
      <c r="C23" s="58"/>
      <c r="D23" s="58"/>
      <c r="E23" s="58"/>
      <c r="G23" s="51"/>
      <c r="H23" s="51"/>
      <c r="I23" s="51"/>
      <c r="J23" s="51"/>
      <c r="K23" s="13"/>
      <c r="L23" s="51"/>
      <c r="M23" s="51"/>
      <c r="N23" s="51"/>
      <c r="O23" s="51"/>
      <c r="P23" s="13"/>
      <c r="Q23" s="51"/>
      <c r="R23" s="51"/>
      <c r="S23" s="51"/>
      <c r="T23" s="51"/>
      <c r="U23" s="13"/>
      <c r="V23" s="13"/>
      <c r="AF23" s="2"/>
      <c r="AG23" s="2"/>
      <c r="AH23" s="2"/>
      <c r="AI23" s="2"/>
      <c r="AJ23" s="2"/>
    </row>
    <row r="24" spans="1:36" s="1" customFormat="1" ht="15" x14ac:dyDescent="0.25">
      <c r="A24" s="58"/>
      <c r="B24" s="58"/>
      <c r="C24" s="58"/>
      <c r="D24" s="58"/>
      <c r="E24" s="58"/>
      <c r="G24" s="14"/>
      <c r="H24" s="15"/>
      <c r="I24" s="15"/>
      <c r="J24" s="15"/>
      <c r="K24" s="13"/>
      <c r="L24" s="14"/>
      <c r="M24" s="15"/>
      <c r="N24" s="15"/>
      <c r="O24" s="15"/>
      <c r="P24" s="13"/>
      <c r="Q24" s="14"/>
      <c r="R24" s="16"/>
      <c r="S24" s="16"/>
      <c r="T24" s="16"/>
      <c r="U24" s="13"/>
      <c r="V24" s="13"/>
      <c r="AF24" s="2"/>
      <c r="AG24" s="2"/>
      <c r="AH24" s="2"/>
      <c r="AI24" s="2"/>
      <c r="AJ24" s="2"/>
    </row>
    <row r="25" spans="1:36" s="1" customFormat="1" ht="15" x14ac:dyDescent="0.25">
      <c r="A25" s="58"/>
      <c r="B25" s="58"/>
      <c r="C25" s="58"/>
      <c r="D25" s="58"/>
      <c r="E25" s="58"/>
      <c r="G25" s="15"/>
      <c r="H25" s="13"/>
      <c r="I25" s="13"/>
      <c r="J25" s="13"/>
      <c r="K25" s="13"/>
      <c r="L25" s="15"/>
      <c r="M25" s="13"/>
      <c r="N25" s="13"/>
      <c r="O25" s="13"/>
      <c r="P25" s="13"/>
      <c r="Q25" s="15"/>
      <c r="R25" s="18"/>
      <c r="S25" s="18"/>
      <c r="T25" s="18"/>
      <c r="U25" s="13"/>
      <c r="V25" s="13"/>
      <c r="AF25" s="2"/>
      <c r="AG25" s="2"/>
      <c r="AH25" s="2"/>
      <c r="AI25" s="2"/>
      <c r="AJ25" s="2"/>
    </row>
    <row r="26" spans="1:36" s="1" customFormat="1" ht="15" x14ac:dyDescent="0.25">
      <c r="A26" s="58"/>
      <c r="B26" s="58"/>
      <c r="C26" s="58"/>
      <c r="D26" s="58"/>
      <c r="E26" s="58"/>
      <c r="G26" s="15"/>
      <c r="H26" s="13"/>
      <c r="I26" s="13"/>
      <c r="J26" s="13"/>
      <c r="K26" s="13"/>
      <c r="L26" s="15"/>
      <c r="M26" s="13"/>
      <c r="N26" s="13"/>
      <c r="O26" s="13"/>
      <c r="P26" s="13"/>
      <c r="Q26" s="15"/>
      <c r="R26" s="18"/>
      <c r="S26" s="18"/>
      <c r="T26" s="18"/>
      <c r="U26" s="13"/>
      <c r="V26" s="13"/>
      <c r="AF26" s="2"/>
      <c r="AG26" s="2"/>
      <c r="AH26" s="2"/>
      <c r="AI26" s="2"/>
      <c r="AJ26" s="2"/>
    </row>
    <row r="27" spans="1:36" s="1" customFormat="1" x14ac:dyDescent="0.2">
      <c r="A27" s="58"/>
      <c r="B27" s="58"/>
      <c r="C27" s="58"/>
      <c r="D27" s="58"/>
      <c r="E27" s="58"/>
      <c r="G27" s="13"/>
      <c r="H27" s="13"/>
      <c r="I27" s="13"/>
      <c r="J27" s="13"/>
      <c r="K27" s="13"/>
      <c r="L27" s="13"/>
      <c r="M27" s="13"/>
      <c r="N27" s="13"/>
      <c r="O27" s="13"/>
      <c r="P27" s="13"/>
      <c r="Q27" s="13"/>
      <c r="R27" s="13"/>
      <c r="S27" s="13"/>
      <c r="T27" s="13"/>
      <c r="U27" s="13"/>
      <c r="V27" s="13"/>
      <c r="AF27" s="2"/>
      <c r="AG27" s="2"/>
      <c r="AH27" s="2"/>
      <c r="AI27" s="2"/>
      <c r="AJ27" s="2"/>
    </row>
    <row r="28" spans="1:36" x14ac:dyDescent="0.2">
      <c r="G28" s="13"/>
      <c r="H28" s="13"/>
      <c r="I28" s="13"/>
      <c r="J28" s="13"/>
      <c r="K28" s="13"/>
      <c r="L28" s="13"/>
      <c r="M28" s="13"/>
      <c r="N28" s="13"/>
      <c r="O28" s="13"/>
      <c r="P28" s="13"/>
      <c r="Q28" s="13"/>
      <c r="R28" s="13"/>
      <c r="S28" s="13"/>
      <c r="T28" s="13"/>
      <c r="U28" s="13"/>
      <c r="V28" s="13"/>
    </row>
    <row r="34" spans="1:36" s="1" customFormat="1" ht="15" customHeight="1" x14ac:dyDescent="0.2">
      <c r="A34" s="58"/>
      <c r="B34" s="58"/>
      <c r="C34" s="58"/>
      <c r="D34" s="58"/>
      <c r="E34" s="58"/>
      <c r="AF34" s="2"/>
      <c r="AG34" s="2"/>
      <c r="AH34" s="2"/>
      <c r="AI34" s="2"/>
      <c r="AJ34" s="2"/>
    </row>
    <row r="37" spans="1:36" s="1" customFormat="1" x14ac:dyDescent="0.2">
      <c r="A37" s="58"/>
      <c r="B37" s="58"/>
      <c r="C37" s="58"/>
      <c r="D37" s="58"/>
      <c r="E37" s="58"/>
      <c r="AF37" s="2"/>
      <c r="AG37" s="2"/>
      <c r="AH37" s="2"/>
      <c r="AI37" s="2"/>
      <c r="AJ37" s="2"/>
    </row>
    <row r="39" spans="1:36" s="3" customFormat="1" ht="15" customHeight="1" x14ac:dyDescent="0.2">
      <c r="A39" s="58"/>
      <c r="B39" s="58"/>
      <c r="C39" s="58"/>
      <c r="D39" s="58"/>
      <c r="E39" s="58"/>
      <c r="F39" s="1"/>
      <c r="G39" s="1"/>
      <c r="H39" s="1"/>
      <c r="I39" s="1"/>
      <c r="J39" s="1"/>
      <c r="K39" s="1"/>
      <c r="L39" s="1"/>
      <c r="M39" s="1"/>
      <c r="N39" s="1"/>
      <c r="O39" s="1"/>
      <c r="P39" s="1"/>
      <c r="Q39" s="1"/>
      <c r="R39" s="1"/>
      <c r="S39" s="1"/>
      <c r="T39" s="1"/>
      <c r="U39" s="1"/>
      <c r="V39" s="1"/>
      <c r="W39" s="1"/>
      <c r="X39" s="1"/>
      <c r="Y39" s="1"/>
      <c r="Z39" s="1"/>
      <c r="AA39" s="1"/>
      <c r="AB39" s="1"/>
      <c r="AC39" s="1"/>
      <c r="AD39" s="1"/>
      <c r="AE39" s="1"/>
      <c r="AF39" s="2"/>
      <c r="AG39" s="2"/>
      <c r="AH39" s="2"/>
      <c r="AI39" s="2"/>
      <c r="AJ39" s="2"/>
    </row>
  </sheetData>
  <mergeCells count="11">
    <mergeCell ref="G23:J23"/>
    <mergeCell ref="L23:O23"/>
    <mergeCell ref="Q23:T23"/>
    <mergeCell ref="I2:L2"/>
    <mergeCell ref="Q6:T6"/>
    <mergeCell ref="Q12:T12"/>
    <mergeCell ref="B5:D5"/>
    <mergeCell ref="B7:D7"/>
    <mergeCell ref="B8:D12"/>
    <mergeCell ref="B13:D17"/>
    <mergeCell ref="Q18:T18"/>
  </mergeCells>
  <pageMargins left="0.7" right="0.7" top="0.75" bottom="0.75" header="0.3" footer="0.3"/>
  <pageSetup orientation="landscape"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9997558519241921"/>
  </sheetPr>
  <dimension ref="A2:AJ37"/>
  <sheetViews>
    <sheetView tabSelected="1" workbookViewId="0">
      <selection activeCell="I55" sqref="I55"/>
    </sheetView>
  </sheetViews>
  <sheetFormatPr defaultColWidth="7.5546875" defaultRowHeight="14.25" x14ac:dyDescent="0.2"/>
  <cols>
    <col min="1" max="1" width="1.33203125" style="58" customWidth="1"/>
    <col min="2" max="2" width="7.5546875" style="58"/>
    <col min="3" max="3" width="8.33203125" style="58" bestFit="1" customWidth="1"/>
    <col min="4" max="4" width="7.5546875" style="58"/>
    <col min="5" max="5" width="1.33203125" style="58" customWidth="1"/>
    <col min="6" max="6" width="7.5546875" style="1"/>
    <col min="7" max="7" width="18.21875" style="1" bestFit="1" customWidth="1"/>
    <col min="8" max="11" width="7.5546875" style="1" customWidth="1"/>
    <col min="12" max="12" width="9.5546875" style="1" bestFit="1" customWidth="1"/>
    <col min="13" max="16" width="7.5546875" style="1" customWidth="1"/>
    <col min="17" max="17" width="9.5546875" style="1" bestFit="1" customWidth="1"/>
    <col min="18" max="19" width="9.88671875" style="1" customWidth="1"/>
    <col min="20" max="20" width="10.88671875" style="1" customWidth="1"/>
    <col min="21" max="22" width="7.5546875" style="1" customWidth="1"/>
    <col min="23" max="31" width="7.5546875" style="1"/>
    <col min="32" max="16384" width="7.5546875" style="2"/>
  </cols>
  <sheetData>
    <row r="2" spans="1:36" ht="20.25" x14ac:dyDescent="0.3">
      <c r="L2" s="52" t="s">
        <v>20</v>
      </c>
      <c r="M2" s="52"/>
      <c r="N2" s="52"/>
      <c r="O2" s="52"/>
      <c r="AE2" s="2"/>
    </row>
    <row r="4" spans="1:36" ht="6.75" customHeight="1" x14ac:dyDescent="0.2"/>
    <row r="5" spans="1:36" ht="15" x14ac:dyDescent="0.25">
      <c r="B5" s="59"/>
      <c r="C5" s="59"/>
      <c r="D5" s="59"/>
    </row>
    <row r="6" spans="1:36" s="1" customFormat="1" ht="15" x14ac:dyDescent="0.25">
      <c r="A6" s="58"/>
      <c r="B6" s="58"/>
      <c r="C6" s="58"/>
      <c r="D6" s="58"/>
      <c r="E6" s="58"/>
      <c r="G6" s="55" t="s">
        <v>11</v>
      </c>
      <c r="H6" s="55"/>
      <c r="I6" s="55"/>
      <c r="J6" s="55"/>
      <c r="L6" s="55" t="s">
        <v>12</v>
      </c>
      <c r="M6" s="55"/>
      <c r="N6" s="55"/>
      <c r="O6" s="55"/>
      <c r="Q6" s="55" t="s">
        <v>16</v>
      </c>
      <c r="R6" s="55"/>
      <c r="S6" s="55"/>
      <c r="T6" s="55"/>
      <c r="AF6" s="2"/>
      <c r="AG6" s="2"/>
      <c r="AH6" s="2"/>
      <c r="AI6" s="2"/>
      <c r="AJ6" s="2"/>
    </row>
    <row r="7" spans="1:36" s="1" customFormat="1" ht="13.9" customHeight="1" x14ac:dyDescent="0.25">
      <c r="A7" s="58"/>
      <c r="B7" s="53" t="s">
        <v>69</v>
      </c>
      <c r="C7" s="54"/>
      <c r="D7" s="54"/>
      <c r="E7" s="58"/>
      <c r="G7" s="7"/>
      <c r="H7" s="6" t="s">
        <v>1</v>
      </c>
      <c r="I7" s="6" t="s">
        <v>2</v>
      </c>
      <c r="J7" s="6" t="s">
        <v>3</v>
      </c>
      <c r="L7" s="7"/>
      <c r="M7" s="6">
        <v>0</v>
      </c>
      <c r="N7" s="6">
        <v>1</v>
      </c>
      <c r="O7" s="6">
        <v>2</v>
      </c>
      <c r="Q7" s="7"/>
      <c r="R7" s="9">
        <f ca="1">TODAY()</f>
        <v>44588</v>
      </c>
      <c r="S7" s="9">
        <f ca="1">TODAY()-28</f>
        <v>44560</v>
      </c>
      <c r="T7" s="9">
        <f ca="1">S7-28</f>
        <v>44532</v>
      </c>
      <c r="AF7" s="2"/>
      <c r="AG7" s="2"/>
      <c r="AH7" s="2"/>
      <c r="AI7" s="2"/>
      <c r="AJ7" s="2"/>
    </row>
    <row r="8" spans="1:36" s="1" customFormat="1" ht="13.9" customHeight="1" x14ac:dyDescent="0.25">
      <c r="A8" s="58"/>
      <c r="B8" s="50" t="s">
        <v>66</v>
      </c>
      <c r="C8" s="50"/>
      <c r="D8" s="50"/>
      <c r="E8" s="58"/>
      <c r="G8" s="6" t="s">
        <v>0</v>
      </c>
      <c r="H8" s="1">
        <f>RTD("fsxl",,$G8,H$7)</f>
        <v>89.88</v>
      </c>
      <c r="I8" s="1">
        <f>RTD("fsxl",,$G8,I$7)</f>
        <v>89.89</v>
      </c>
      <c r="J8" s="1">
        <f>RTD("fsxl",,$G8,J$7)</f>
        <v>89.9</v>
      </c>
      <c r="L8" s="6" t="s">
        <v>0</v>
      </c>
      <c r="M8" s="1">
        <f>RTD("fsxl",,"*H",$L8,"Last","D",,M$7)</f>
        <v>89.34</v>
      </c>
      <c r="N8" s="1">
        <f>RTD("fsxl",,"*H",$L8,"Last","D",,N$7)</f>
        <v>89.96</v>
      </c>
      <c r="O8" s="1">
        <f>RTD("fsxl",,"*H",$L8,"Last","D",,O$7)</f>
        <v>88.2</v>
      </c>
      <c r="Q8" s="6" t="s">
        <v>0</v>
      </c>
      <c r="R8" s="1">
        <f ca="1">RTD("fsxl",,"*H",$Q8,"Last","D",R$7)</f>
        <v>89.34</v>
      </c>
      <c r="S8" s="1">
        <f ca="1">RTD("fsxl",,"*H",$Q8,"Last","D",S$7)</f>
        <v>79.53</v>
      </c>
      <c r="T8" s="1">
        <f ca="1">RTD("fsxl",,"*H",$Q8,"Last","D",T$7)</f>
        <v>69.319999999999993</v>
      </c>
      <c r="AF8" s="2"/>
      <c r="AG8" s="2"/>
      <c r="AH8" s="2"/>
      <c r="AI8" s="2"/>
      <c r="AJ8" s="2"/>
    </row>
    <row r="9" spans="1:36" s="1" customFormat="1" ht="15" x14ac:dyDescent="0.25">
      <c r="A9" s="58"/>
      <c r="B9" s="50"/>
      <c r="C9" s="50"/>
      <c r="D9" s="50"/>
      <c r="E9" s="58"/>
      <c r="G9" s="6" t="s">
        <v>4</v>
      </c>
      <c r="H9" s="1">
        <f>RTD("fsxl",,$G9,H$7)</f>
        <v>801.25</v>
      </c>
      <c r="I9" s="1">
        <f>RTD("fsxl",,$G9,I$7)</f>
        <v>801</v>
      </c>
      <c r="J9" s="1">
        <f>RTD("fsxl",,$G9,J$7)</f>
        <v>801.75</v>
      </c>
      <c r="L9" s="6" t="s">
        <v>4</v>
      </c>
      <c r="M9" s="1">
        <f>RTD("fsxl",,"*H",$L9,"Last","D",,M$7)</f>
        <v>789.75</v>
      </c>
      <c r="N9" s="1">
        <f>RTD("fsxl",,"*H",$L9,"Last","D",,N$7)</f>
        <v>787.5</v>
      </c>
      <c r="O9" s="1">
        <f>RTD("fsxl",,"*H",$L9,"Last","D",,O$7)</f>
        <v>761.5</v>
      </c>
      <c r="Q9" s="6" t="s">
        <v>4</v>
      </c>
      <c r="R9" s="1">
        <f ca="1">RTD("fsxl",,"*H",$Q9,"Last","D",R$7)</f>
        <v>789.75</v>
      </c>
      <c r="S9" s="1">
        <f ca="1">RTD("fsxl",,"*H",$Q9,"Last","D",S$7)</f>
        <v>677</v>
      </c>
      <c r="T9" s="1">
        <f ca="1">RTD("fsxl",,"*H",$Q9,"Last","D",T$7)</f>
        <v>601.75</v>
      </c>
      <c r="AF9" s="2"/>
      <c r="AG9" s="2"/>
      <c r="AH9" s="2"/>
      <c r="AI9" s="2"/>
      <c r="AJ9" s="2"/>
    </row>
    <row r="10" spans="1:36" s="1" customFormat="1" ht="15" customHeight="1" x14ac:dyDescent="0.2">
      <c r="A10" s="58"/>
      <c r="B10" s="50"/>
      <c r="C10" s="50"/>
      <c r="D10" s="50"/>
      <c r="E10" s="58"/>
      <c r="AF10" s="2"/>
      <c r="AG10" s="2"/>
      <c r="AH10" s="2"/>
      <c r="AI10" s="2"/>
      <c r="AJ10" s="2"/>
    </row>
    <row r="11" spans="1:36" s="1" customFormat="1" ht="15" x14ac:dyDescent="0.25">
      <c r="A11" s="58"/>
      <c r="B11" s="50"/>
      <c r="C11" s="50"/>
      <c r="D11" s="50"/>
      <c r="E11" s="58"/>
      <c r="G11" s="55" t="s">
        <v>6</v>
      </c>
      <c r="H11" s="55"/>
      <c r="I11" s="55"/>
      <c r="J11" s="55"/>
      <c r="L11" s="55" t="s">
        <v>13</v>
      </c>
      <c r="M11" s="55"/>
      <c r="N11" s="55"/>
      <c r="O11" s="55"/>
      <c r="Q11" s="55" t="s">
        <v>17</v>
      </c>
      <c r="R11" s="55"/>
      <c r="S11" s="55"/>
      <c r="T11" s="55"/>
      <c r="AF11" s="2"/>
      <c r="AG11" s="2"/>
      <c r="AH11" s="2"/>
      <c r="AI11" s="2"/>
      <c r="AJ11" s="2"/>
    </row>
    <row r="12" spans="1:36" s="1" customFormat="1" ht="15" x14ac:dyDescent="0.25">
      <c r="A12" s="58"/>
      <c r="B12" s="50"/>
      <c r="C12" s="50"/>
      <c r="D12" s="50"/>
      <c r="E12" s="58"/>
      <c r="G12" s="7"/>
      <c r="H12" s="6" t="s">
        <v>1</v>
      </c>
      <c r="I12" s="6" t="s">
        <v>2</v>
      </c>
      <c r="J12" s="6" t="s">
        <v>3</v>
      </c>
      <c r="L12" s="7"/>
      <c r="M12" s="6">
        <v>0</v>
      </c>
      <c r="N12" s="6">
        <v>1</v>
      </c>
      <c r="O12" s="6">
        <v>2</v>
      </c>
      <c r="Q12" s="7"/>
      <c r="R12" s="10">
        <f ca="1">TODAY()+TIME(HOUR(NOW()),0,0)</f>
        <v>44588.625</v>
      </c>
      <c r="S12" s="10">
        <f ca="1">R12-TIME(1,0,0)</f>
        <v>44588.583333333336</v>
      </c>
      <c r="T12" s="10">
        <f ca="1">S12-TIME(1,0,0)</f>
        <v>44588.541666666672</v>
      </c>
      <c r="AF12" s="2"/>
      <c r="AG12" s="2"/>
      <c r="AH12" s="2"/>
      <c r="AI12" s="2"/>
      <c r="AJ12" s="2"/>
    </row>
    <row r="13" spans="1:36" s="1" customFormat="1" ht="15" x14ac:dyDescent="0.25">
      <c r="A13" s="58"/>
      <c r="B13" s="50"/>
      <c r="C13" s="50"/>
      <c r="D13" s="50"/>
      <c r="E13" s="58"/>
      <c r="G13" s="6" t="s">
        <v>0</v>
      </c>
      <c r="H13" s="1">
        <f>RTD("fsxl",,$G13,H$12)</f>
        <v>89.88</v>
      </c>
      <c r="I13" s="1">
        <f>RTD("fsxl",,$G13,I$12)</f>
        <v>89.89</v>
      </c>
      <c r="J13" s="1">
        <f>RTD("fsxl",,$G13,J$12)</f>
        <v>89.9</v>
      </c>
      <c r="L13" s="6" t="s">
        <v>0</v>
      </c>
      <c r="M13" s="1">
        <f>RTD("fsxl",,"*H",$L13,"Last","I60",,M12)</f>
        <v>89.88</v>
      </c>
      <c r="N13" s="1">
        <f>RTD("fsxl",,"*H",$L13,"Last","I60",,N12)</f>
        <v>89.7</v>
      </c>
      <c r="O13" s="1">
        <f>RTD("fsxl",,"*H",$L13,"Last","I60",,O12)</f>
        <v>89.03</v>
      </c>
      <c r="Q13" s="6" t="s">
        <v>0</v>
      </c>
      <c r="R13" s="1">
        <f ca="1">RTD("fsxl",,"*H",$Q13,"Last","I60",R$12)</f>
        <v>89.88</v>
      </c>
      <c r="S13" s="1">
        <f ca="1">RTD("fsxl",,"*H",$Q13,"Last","I60",S$12)</f>
        <v>89.7</v>
      </c>
      <c r="T13" s="1">
        <f ca="1">RTD("fsxl",,"*H",$Q13,"Last","I60",T$12)</f>
        <v>89.03</v>
      </c>
      <c r="AF13" s="2"/>
      <c r="AG13" s="2"/>
      <c r="AH13" s="2"/>
      <c r="AI13" s="2"/>
      <c r="AJ13" s="2"/>
    </row>
    <row r="14" spans="1:36" s="1" customFormat="1" ht="15" x14ac:dyDescent="0.25">
      <c r="A14" s="58"/>
      <c r="B14" s="50"/>
      <c r="C14" s="50"/>
      <c r="D14" s="50"/>
      <c r="E14" s="58"/>
      <c r="G14" s="6" t="s">
        <v>5</v>
      </c>
      <c r="H14" s="1">
        <f>RTD("fsxl",,$G14,H$12)</f>
        <v>80.64675322344749</v>
      </c>
      <c r="I14" s="1">
        <f>RTD("fsxl",,$G14,I$12)</f>
        <v>80.655725937424293</v>
      </c>
      <c r="J14" s="1">
        <f>RTD("fsxl",,$G14,J$12)</f>
        <v>80.664698651401096</v>
      </c>
      <c r="L14" s="6" t="s">
        <v>4</v>
      </c>
      <c r="M14" s="1">
        <f>RTD("fsxl",,"*H",$L14,"Last","I60",,M12)</f>
        <v>801.25</v>
      </c>
      <c r="N14" s="1">
        <f>RTD("fsxl",,"*H",$L14,"Last","I60",,N12)</f>
        <v>798.25</v>
      </c>
      <c r="O14" s="1">
        <f>RTD("fsxl",,"*H",$L14,"Last","I60",,O12)</f>
        <v>792</v>
      </c>
      <c r="Q14" s="6" t="s">
        <v>4</v>
      </c>
      <c r="R14" s="1">
        <f ca="1">RTD("fsxl",,"*H",$Q14,"Last","I60",R$12)</f>
        <v>801.25</v>
      </c>
      <c r="S14" s="1">
        <f ca="1">RTD("fsxl",,"*H",$Q14,"Last","I60",S$12)</f>
        <v>798.25</v>
      </c>
      <c r="T14" s="1">
        <f ca="1">RTD("fsxl",,"*H",$Q14,"Last","I60",T$12)</f>
        <v>792</v>
      </c>
      <c r="AF14" s="2"/>
      <c r="AG14" s="2"/>
      <c r="AH14" s="2"/>
      <c r="AI14" s="2"/>
      <c r="AJ14" s="2"/>
    </row>
    <row r="15" spans="1:36" s="1" customFormat="1" ht="15" customHeight="1" x14ac:dyDescent="0.2">
      <c r="A15" s="58"/>
      <c r="B15" s="50"/>
      <c r="C15" s="50"/>
      <c r="D15" s="50"/>
      <c r="E15" s="58"/>
      <c r="AF15" s="2"/>
      <c r="AG15" s="2"/>
      <c r="AH15" s="2"/>
      <c r="AI15" s="2"/>
      <c r="AJ15" s="2"/>
    </row>
    <row r="16" spans="1:36" s="1" customFormat="1" ht="15" x14ac:dyDescent="0.25">
      <c r="A16" s="58"/>
      <c r="B16" s="50"/>
      <c r="C16" s="50"/>
      <c r="D16" s="50"/>
      <c r="E16" s="58"/>
      <c r="G16" s="55" t="s">
        <v>7</v>
      </c>
      <c r="H16" s="55"/>
      <c r="I16" s="55"/>
      <c r="J16" s="55"/>
      <c r="L16" s="55" t="s">
        <v>14</v>
      </c>
      <c r="M16" s="55"/>
      <c r="N16" s="55"/>
      <c r="O16" s="55"/>
      <c r="Q16" s="55" t="s">
        <v>18</v>
      </c>
      <c r="R16" s="55"/>
      <c r="S16" s="55"/>
      <c r="T16" s="55"/>
      <c r="AF16" s="2"/>
      <c r="AG16" s="2"/>
      <c r="AH16" s="2"/>
      <c r="AI16" s="2"/>
      <c r="AJ16" s="2"/>
    </row>
    <row r="17" spans="1:36" s="1" customFormat="1" ht="15" x14ac:dyDescent="0.25">
      <c r="A17" s="58"/>
      <c r="B17" s="50"/>
      <c r="C17" s="50"/>
      <c r="D17" s="50"/>
      <c r="E17" s="58"/>
      <c r="G17" s="7"/>
      <c r="H17" s="6" t="s">
        <v>1</v>
      </c>
      <c r="I17" s="6" t="s">
        <v>2</v>
      </c>
      <c r="J17" s="6" t="s">
        <v>3</v>
      </c>
      <c r="L17" s="7"/>
      <c r="M17" s="6">
        <v>0</v>
      </c>
      <c r="N17" s="6">
        <v>1</v>
      </c>
      <c r="O17" s="6">
        <v>2</v>
      </c>
      <c r="Q17" s="7"/>
      <c r="R17" s="9">
        <f ca="1">TODAY()</f>
        <v>44588</v>
      </c>
      <c r="S17" s="9">
        <f ca="1">R17-7</f>
        <v>44581</v>
      </c>
      <c r="T17" s="9">
        <f ca="1">S17-7</f>
        <v>44574</v>
      </c>
      <c r="AF17" s="2"/>
      <c r="AG17" s="2"/>
      <c r="AH17" s="2"/>
      <c r="AI17" s="2"/>
      <c r="AJ17" s="2"/>
    </row>
    <row r="18" spans="1:36" s="1" customFormat="1" ht="15" x14ac:dyDescent="0.25">
      <c r="A18" s="58"/>
      <c r="B18" s="50"/>
      <c r="C18" s="50"/>
      <c r="D18" s="50"/>
      <c r="E18" s="58"/>
      <c r="G18" s="6" t="s">
        <v>0</v>
      </c>
      <c r="H18" s="1">
        <f>RTD("fsxl",,$G18,H$17)</f>
        <v>89.88</v>
      </c>
      <c r="I18" s="1">
        <f>RTD("fsxl",,$G18,I$17)</f>
        <v>89.89</v>
      </c>
      <c r="J18" s="1">
        <f>RTD("fsxl",,$G18,J$17)</f>
        <v>89.9</v>
      </c>
      <c r="L18" s="6" t="s">
        <v>0</v>
      </c>
      <c r="M18" s="1">
        <f>RTD("fsxl",,"*H",$L18,"Last","W",,M$17)</f>
        <v>89.88</v>
      </c>
      <c r="N18" s="1">
        <f>RTD("fsxl",,"*H",$L18,"Last","W",,N$17)</f>
        <v>87.89</v>
      </c>
      <c r="O18" s="1">
        <f>RTD("fsxl",,"*H",$L18,"Last","W",,O$17)</f>
        <v>86.06</v>
      </c>
      <c r="Q18" s="6" t="s">
        <v>0</v>
      </c>
      <c r="R18" s="11">
        <f ca="1">RTD("fsxl",,"*H",$Q18,"Last","WA",R$17)</f>
        <v>88.442499999999995</v>
      </c>
      <c r="S18" s="11">
        <f ca="1">RTD("fsxl",,"*H",$Q18,"Last","WA",S$17)</f>
        <v>87.74</v>
      </c>
      <c r="T18" s="11">
        <f ca="1">RTD("fsxl",,"*H",$Q18,"Last","WA",T$17)</f>
        <v>83.957999999999998</v>
      </c>
      <c r="AF18" s="2"/>
      <c r="AG18" s="2"/>
      <c r="AH18" s="2"/>
      <c r="AI18" s="2"/>
      <c r="AJ18" s="2"/>
    </row>
    <row r="19" spans="1:36" s="1" customFormat="1" ht="15" x14ac:dyDescent="0.25">
      <c r="A19" s="58"/>
      <c r="B19" s="50"/>
      <c r="C19" s="50"/>
      <c r="D19" s="50"/>
      <c r="E19" s="58"/>
      <c r="G19" s="6" t="s">
        <v>8</v>
      </c>
      <c r="H19" s="1">
        <f>RTD("fsxl",,$G19,H$17)</f>
        <v>2.1399989231844305</v>
      </c>
      <c r="I19" s="1">
        <f>RTD("fsxl",,$G19,I$17)</f>
        <v>2.1402370183027197</v>
      </c>
      <c r="J19" s="1">
        <f>RTD("fsxl",,$G19,J$17)</f>
        <v>2.1404751134210089</v>
      </c>
      <c r="L19" s="6" t="s">
        <v>4</v>
      </c>
      <c r="M19" s="1">
        <f>RTD("fsxl",,"*H",$L19,"Last","W",,M$17)</f>
        <v>801.25</v>
      </c>
      <c r="N19" s="1">
        <f>RTD("fsxl",,"*H",$L19,"Last","W",,N$17)</f>
        <v>769.25</v>
      </c>
      <c r="O19" s="1">
        <f>RTD("fsxl",,"*H",$L19,"Last","W",,O$17)</f>
        <v>749.25</v>
      </c>
      <c r="Q19" s="6" t="s">
        <v>4</v>
      </c>
      <c r="R19" s="11">
        <f ca="1">RTD("fsxl",,"*H",$Q19,"Last","WA",R$17)</f>
        <v>773</v>
      </c>
      <c r="S19" s="11">
        <f ca="1">RTD("fsxl",,"*H",$Q19,"Last","WA",S$17)</f>
        <v>769.2</v>
      </c>
      <c r="T19" s="11">
        <f ca="1">RTD("fsxl",,"*H",$Q19,"Last","WA",T$17)</f>
        <v>730.4</v>
      </c>
      <c r="AF19" s="2"/>
      <c r="AG19" s="2"/>
      <c r="AH19" s="2"/>
      <c r="AI19" s="2"/>
      <c r="AJ19" s="2"/>
    </row>
    <row r="20" spans="1:36" s="1" customFormat="1" ht="15" customHeight="1" x14ac:dyDescent="0.2">
      <c r="A20" s="58"/>
      <c r="B20" s="58"/>
      <c r="C20" s="58"/>
      <c r="D20" s="58"/>
      <c r="E20" s="58"/>
      <c r="AF20" s="2"/>
      <c r="AG20" s="2"/>
      <c r="AH20" s="2"/>
      <c r="AI20" s="2"/>
      <c r="AJ20" s="2"/>
    </row>
    <row r="21" spans="1:36" s="1" customFormat="1" ht="15" x14ac:dyDescent="0.25">
      <c r="A21" s="58"/>
      <c r="B21" s="58"/>
      <c r="C21" s="58"/>
      <c r="D21" s="58"/>
      <c r="E21" s="58"/>
      <c r="G21" s="55" t="s">
        <v>9</v>
      </c>
      <c r="H21" s="55"/>
      <c r="I21" s="55"/>
      <c r="J21" s="55"/>
      <c r="L21" s="55" t="s">
        <v>15</v>
      </c>
      <c r="M21" s="55"/>
      <c r="N21" s="55"/>
      <c r="O21" s="55"/>
      <c r="Q21" s="55" t="s">
        <v>19</v>
      </c>
      <c r="R21" s="55"/>
      <c r="S21" s="55"/>
      <c r="T21" s="55"/>
      <c r="AF21" s="2"/>
      <c r="AG21" s="2"/>
      <c r="AH21" s="2"/>
      <c r="AI21" s="2"/>
      <c r="AJ21" s="2"/>
    </row>
    <row r="22" spans="1:36" s="1" customFormat="1" ht="15" x14ac:dyDescent="0.25">
      <c r="A22" s="58"/>
      <c r="B22" s="58"/>
      <c r="C22" s="58"/>
      <c r="D22" s="58"/>
      <c r="E22" s="58"/>
      <c r="G22" s="7"/>
      <c r="H22" s="6" t="s">
        <v>1</v>
      </c>
      <c r="I22" s="6" t="s">
        <v>2</v>
      </c>
      <c r="J22" s="6" t="s">
        <v>3</v>
      </c>
      <c r="L22" s="7"/>
      <c r="M22" s="6">
        <v>0</v>
      </c>
      <c r="N22" s="6">
        <v>1</v>
      </c>
      <c r="O22" s="6">
        <v>2</v>
      </c>
      <c r="Q22" s="7"/>
      <c r="R22" s="9">
        <f ca="1">TODAY()+TIME(HOUR(NOW()),0,0)</f>
        <v>44588.625</v>
      </c>
      <c r="S22" s="9">
        <f ca="1">EDATE(R22,-1)</f>
        <v>44557</v>
      </c>
      <c r="T22" s="9">
        <f ca="1">EDATE(S22,-1)</f>
        <v>44527</v>
      </c>
      <c r="AF22" s="2"/>
      <c r="AG22" s="2"/>
      <c r="AH22" s="2"/>
      <c r="AI22" s="2"/>
      <c r="AJ22" s="2"/>
    </row>
    <row r="23" spans="1:36" s="1" customFormat="1" ht="15" x14ac:dyDescent="0.25">
      <c r="A23" s="58"/>
      <c r="B23" s="58"/>
      <c r="C23" s="58"/>
      <c r="D23" s="58"/>
      <c r="E23" s="58"/>
      <c r="G23" s="6" t="s">
        <v>0</v>
      </c>
      <c r="H23" s="1">
        <f>RTD("fsxl",,$G23,H$22)</f>
        <v>89.88</v>
      </c>
      <c r="I23" s="1">
        <f>RTD("fsxl",,$G23,I$22)</f>
        <v>89.89</v>
      </c>
      <c r="J23" s="1">
        <f>RTD("fsxl",,$G23,J$22)</f>
        <v>89.9</v>
      </c>
      <c r="L23" s="6" t="s">
        <v>0</v>
      </c>
      <c r="M23" s="1">
        <f>RTD("fsxl",,"*H",$L23,"Last","M",,M$22)</f>
        <v>89.88</v>
      </c>
      <c r="N23" s="1">
        <f>RTD("fsxl",,"*H",$L23,"Last","M",,N$22)</f>
        <v>77.78</v>
      </c>
      <c r="O23" s="1">
        <f>RTD("fsxl",,"*H",$L23,"Last","M",,O$22)</f>
        <v>68.88</v>
      </c>
      <c r="Q23" s="6" t="s">
        <v>0</v>
      </c>
      <c r="R23" s="11">
        <f ca="1">RTD("fsxl",,"*H",$Q23,"Last","MA",R$22)</f>
        <v>85.041052631578964</v>
      </c>
      <c r="S23" s="11">
        <f ca="1">RTD("fsxl",,"*H",$Q23,"Last","MA",S$22)</f>
        <v>74.639130434782615</v>
      </c>
      <c r="T23" s="11">
        <f ca="1">RTD("fsxl",,"*H",$Q23,"Last","MA",T$22)</f>
        <v>78.980909090909094</v>
      </c>
      <c r="AF23" s="2"/>
      <c r="AG23" s="2"/>
      <c r="AH23" s="2"/>
      <c r="AI23" s="2"/>
      <c r="AJ23" s="2"/>
    </row>
    <row r="24" spans="1:36" s="1" customFormat="1" ht="15" x14ac:dyDescent="0.25">
      <c r="A24" s="58"/>
      <c r="B24" s="58"/>
      <c r="C24" s="58"/>
      <c r="D24" s="58"/>
      <c r="E24" s="58"/>
      <c r="G24" s="6" t="s">
        <v>10</v>
      </c>
      <c r="H24" s="1">
        <f>RTD("fsxl",,$G24,H$22)</f>
        <v>1.9201598248386529</v>
      </c>
      <c r="I24" s="1">
        <f>RTD("fsxl",,$G24,I$22)</f>
        <v>1.9203734607782212</v>
      </c>
      <c r="J24" s="1">
        <f>RTD("fsxl",,$G24,J$22)</f>
        <v>1.9205870967177894</v>
      </c>
      <c r="L24" s="6" t="s">
        <v>4</v>
      </c>
      <c r="M24" s="1">
        <f>RTD("fsxl",,"*H",$L24,"Last","M",,M$22)</f>
        <v>801.25</v>
      </c>
      <c r="N24" s="1">
        <f>RTD("fsxl",,"*H",$L24,"Last","M",,N$22)</f>
        <v>666.25</v>
      </c>
      <c r="O24" s="1">
        <f>RTD("fsxl",,"*H",$L24,"Last","M",,O$22)</f>
        <v>596.5</v>
      </c>
      <c r="Q24" s="6" t="s">
        <v>4</v>
      </c>
      <c r="R24" s="11">
        <f ca="1">RTD("fsxl",,"*H",$Q24,"Last","MA",R$22)</f>
        <v>740.4473684210526</v>
      </c>
      <c r="S24" s="11">
        <f ca="1">RTD("fsxl",,"*H",$Q24,"Last","MA",S$22)</f>
        <v>644.03260869565213</v>
      </c>
      <c r="T24" s="11">
        <f ca="1">RTD("fsxl",,"*H",$Q24,"Last","MA",T$22)</f>
        <v>678.72727272727275</v>
      </c>
      <c r="AF24" s="2"/>
      <c r="AG24" s="2"/>
      <c r="AH24" s="2"/>
      <c r="AI24" s="2"/>
      <c r="AJ24" s="2"/>
    </row>
    <row r="25" spans="1:36" s="1" customFormat="1" x14ac:dyDescent="0.2">
      <c r="A25" s="58"/>
      <c r="B25" s="58"/>
      <c r="C25" s="58"/>
      <c r="D25" s="58"/>
      <c r="E25" s="58"/>
      <c r="AF25" s="2"/>
      <c r="AG25" s="2"/>
      <c r="AH25" s="2"/>
      <c r="AI25" s="2"/>
      <c r="AJ25" s="2"/>
    </row>
    <row r="32" spans="1:36" s="1" customFormat="1" ht="15" customHeight="1" x14ac:dyDescent="0.2">
      <c r="A32" s="58"/>
      <c r="B32" s="58"/>
      <c r="C32" s="58"/>
      <c r="D32" s="58"/>
      <c r="E32" s="58"/>
      <c r="AF32" s="2"/>
      <c r="AG32" s="2"/>
      <c r="AH32" s="2"/>
      <c r="AI32" s="2"/>
      <c r="AJ32" s="2"/>
    </row>
    <row r="35" spans="1:36" s="1" customFormat="1" x14ac:dyDescent="0.2">
      <c r="A35" s="58"/>
      <c r="B35" s="58"/>
      <c r="C35" s="58"/>
      <c r="D35" s="58"/>
      <c r="E35" s="58"/>
      <c r="AF35" s="2"/>
      <c r="AG35" s="2"/>
      <c r="AH35" s="2"/>
      <c r="AI35" s="2"/>
      <c r="AJ35" s="2"/>
    </row>
    <row r="37" spans="1:36" s="3" customFormat="1" ht="15" customHeight="1" x14ac:dyDescent="0.2">
      <c r="A37" s="58"/>
      <c r="B37" s="58"/>
      <c r="C37" s="58"/>
      <c r="D37" s="58"/>
      <c r="E37" s="58"/>
      <c r="F37" s="1"/>
      <c r="G37" s="1"/>
      <c r="H37" s="1"/>
      <c r="I37" s="1"/>
      <c r="J37" s="1"/>
      <c r="K37" s="1"/>
      <c r="L37" s="1"/>
      <c r="M37" s="1"/>
      <c r="N37" s="1"/>
      <c r="O37" s="1"/>
      <c r="P37" s="1"/>
      <c r="Q37" s="1"/>
      <c r="R37" s="1"/>
      <c r="S37" s="1"/>
      <c r="T37" s="1"/>
      <c r="U37" s="1"/>
      <c r="V37" s="1"/>
      <c r="W37" s="1"/>
      <c r="X37" s="1"/>
      <c r="Y37" s="1"/>
      <c r="Z37" s="1"/>
      <c r="AA37" s="1"/>
      <c r="AB37" s="1"/>
      <c r="AC37" s="1"/>
      <c r="AD37" s="1"/>
      <c r="AE37" s="1"/>
      <c r="AF37" s="2"/>
      <c r="AG37" s="2"/>
      <c r="AH37" s="2"/>
      <c r="AI37" s="2"/>
      <c r="AJ37" s="2"/>
    </row>
  </sheetData>
  <mergeCells count="16">
    <mergeCell ref="L2:O2"/>
    <mergeCell ref="G6:J6"/>
    <mergeCell ref="L6:O6"/>
    <mergeCell ref="Q6:T6"/>
    <mergeCell ref="G11:J11"/>
    <mergeCell ref="L11:O11"/>
    <mergeCell ref="Q11:T11"/>
    <mergeCell ref="B5:D5"/>
    <mergeCell ref="B8:D19"/>
    <mergeCell ref="B7:D7"/>
    <mergeCell ref="Q16:T16"/>
    <mergeCell ref="G21:J21"/>
    <mergeCell ref="L21:O21"/>
    <mergeCell ref="Q21:T21"/>
    <mergeCell ref="G16:J16"/>
    <mergeCell ref="L16:O16"/>
  </mergeCells>
  <pageMargins left="0.7" right="0.7" top="0.75" bottom="0.75" header="0.3" footer="0.3"/>
  <pageSetup orientation="landscape"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9997558519241921"/>
  </sheetPr>
  <dimension ref="A4:AN68"/>
  <sheetViews>
    <sheetView workbookViewId="0">
      <selection activeCell="G8" sqref="G8"/>
    </sheetView>
  </sheetViews>
  <sheetFormatPr defaultColWidth="7.5546875" defaultRowHeight="14.25" x14ac:dyDescent="0.2"/>
  <cols>
    <col min="1" max="1" width="1.33203125" style="58" customWidth="1"/>
    <col min="2" max="2" width="7.5546875" style="58"/>
    <col min="3" max="3" width="8.33203125" style="58" bestFit="1" customWidth="1"/>
    <col min="4" max="4" width="7.5546875" style="58"/>
    <col min="5" max="5" width="1.33203125" style="58" customWidth="1"/>
    <col min="6" max="6" width="7.5546875" style="1"/>
    <col min="7" max="7" width="10.77734375" style="1" customWidth="1"/>
    <col min="8" max="8" width="19.6640625" style="1" customWidth="1"/>
    <col min="9" max="9" width="11" style="1" customWidth="1"/>
    <col min="10" max="10" width="10" style="1" customWidth="1"/>
    <col min="11" max="11" width="10.33203125" style="1" customWidth="1"/>
    <col min="12" max="12" width="10.5546875" style="1" customWidth="1"/>
    <col min="13" max="14" width="11.77734375" style="1" customWidth="1"/>
    <col min="15" max="40" width="7.5546875" style="77"/>
    <col min="41" max="16384" width="7.5546875" style="2"/>
  </cols>
  <sheetData>
    <row r="4" spans="1:40" ht="6" customHeight="1" x14ac:dyDescent="0.2"/>
    <row r="5" spans="1:40" ht="15" x14ac:dyDescent="0.25">
      <c r="B5" s="59"/>
      <c r="C5" s="59"/>
      <c r="D5" s="59"/>
      <c r="F5" s="13"/>
      <c r="G5" s="13"/>
      <c r="L5" s="13"/>
      <c r="M5" s="13"/>
      <c r="N5" s="13"/>
    </row>
    <row r="6" spans="1:40" s="1" customFormat="1" ht="17.45" customHeight="1" x14ac:dyDescent="0.3">
      <c r="A6" s="58"/>
      <c r="B6" s="58"/>
      <c r="C6" s="58"/>
      <c r="D6" s="58"/>
      <c r="E6" s="58"/>
      <c r="F6" s="13"/>
      <c r="G6" s="13"/>
      <c r="H6" s="52" t="s">
        <v>43</v>
      </c>
      <c r="I6" s="52"/>
      <c r="J6" s="52"/>
      <c r="K6" s="52"/>
      <c r="L6" s="48"/>
      <c r="M6" s="48"/>
      <c r="N6" s="22"/>
      <c r="O6" s="77"/>
      <c r="P6" s="77"/>
      <c r="Q6" s="77"/>
      <c r="R6" s="77"/>
      <c r="S6" s="77"/>
      <c r="T6" s="77"/>
      <c r="U6" s="77"/>
      <c r="V6" s="77"/>
      <c r="W6" s="77"/>
      <c r="X6" s="77"/>
      <c r="Y6" s="77"/>
      <c r="Z6" s="77"/>
      <c r="AA6" s="77"/>
      <c r="AB6" s="77"/>
      <c r="AC6" s="77"/>
      <c r="AD6" s="77"/>
      <c r="AE6" s="77"/>
      <c r="AF6" s="77"/>
      <c r="AG6" s="77"/>
      <c r="AH6" s="77"/>
      <c r="AI6" s="77"/>
      <c r="AJ6" s="77"/>
      <c r="AK6" s="77"/>
      <c r="AL6" s="77"/>
      <c r="AM6" s="77"/>
      <c r="AN6" s="77"/>
    </row>
    <row r="7" spans="1:40" s="1" customFormat="1" ht="13.9" customHeight="1" x14ac:dyDescent="0.25">
      <c r="A7" s="58"/>
      <c r="B7" s="50" t="s">
        <v>43</v>
      </c>
      <c r="C7" s="50"/>
      <c r="D7" s="50"/>
      <c r="E7" s="58"/>
      <c r="F7" s="13"/>
      <c r="G7" s="13"/>
      <c r="H7" s="14"/>
      <c r="I7" s="15"/>
      <c r="J7" s="15"/>
      <c r="K7" s="15"/>
      <c r="L7" s="13"/>
      <c r="M7" s="14"/>
      <c r="N7" s="15"/>
      <c r="O7" s="77"/>
      <c r="P7" s="77"/>
      <c r="Q7" s="77"/>
      <c r="R7" s="77"/>
      <c r="S7" s="77"/>
      <c r="T7" s="77"/>
      <c r="U7" s="77"/>
      <c r="V7" s="77"/>
      <c r="W7" s="77"/>
      <c r="X7" s="77"/>
      <c r="Y7" s="77"/>
      <c r="Z7" s="77"/>
      <c r="AA7" s="77"/>
      <c r="AB7" s="77"/>
      <c r="AC7" s="77"/>
      <c r="AD7" s="77"/>
      <c r="AE7" s="77"/>
      <c r="AF7" s="77"/>
      <c r="AG7" s="77"/>
      <c r="AH7" s="77"/>
      <c r="AI7" s="77"/>
      <c r="AJ7" s="77"/>
      <c r="AK7" s="77"/>
      <c r="AL7" s="77"/>
      <c r="AM7" s="77"/>
      <c r="AN7" s="77"/>
    </row>
    <row r="8" spans="1:40" s="1" customFormat="1" ht="13.9" customHeight="1" x14ac:dyDescent="0.25">
      <c r="A8" s="58"/>
      <c r="B8" s="50" t="s">
        <v>70</v>
      </c>
      <c r="C8" s="50"/>
      <c r="D8" s="50"/>
      <c r="E8" s="58"/>
      <c r="F8" s="13"/>
      <c r="G8" s="13"/>
      <c r="H8" s="60"/>
      <c r="I8" s="51"/>
      <c r="J8" s="51"/>
      <c r="K8" s="51"/>
      <c r="L8" s="51"/>
      <c r="M8" s="51"/>
      <c r="N8" s="13"/>
      <c r="O8" s="77"/>
      <c r="P8" s="77"/>
      <c r="Q8" s="77"/>
      <c r="R8" s="77"/>
      <c r="S8" s="77"/>
      <c r="T8" s="77"/>
      <c r="U8" s="77"/>
      <c r="V8" s="77"/>
      <c r="W8" s="77"/>
      <c r="X8" s="77"/>
      <c r="Y8" s="77"/>
      <c r="Z8" s="77"/>
      <c r="AA8" s="77"/>
      <c r="AB8" s="77"/>
      <c r="AC8" s="77"/>
      <c r="AD8" s="77"/>
      <c r="AE8" s="77"/>
      <c r="AF8" s="77"/>
      <c r="AG8" s="77"/>
      <c r="AH8" s="77"/>
      <c r="AI8" s="77"/>
      <c r="AJ8" s="77"/>
      <c r="AK8" s="77"/>
      <c r="AL8" s="77"/>
      <c r="AM8" s="77"/>
      <c r="AN8" s="77"/>
    </row>
    <row r="9" spans="1:40" s="1" customFormat="1" ht="15" x14ac:dyDescent="0.25">
      <c r="A9" s="58"/>
      <c r="B9" s="50"/>
      <c r="C9" s="50"/>
      <c r="D9" s="50"/>
      <c r="E9" s="58"/>
      <c r="F9" s="13"/>
      <c r="G9" s="13"/>
      <c r="H9" s="15"/>
      <c r="I9" s="13"/>
      <c r="J9" s="13"/>
      <c r="K9" s="13"/>
      <c r="L9" s="13"/>
      <c r="M9" s="15"/>
      <c r="N9" s="13"/>
      <c r="O9" s="77"/>
      <c r="P9" s="77"/>
      <c r="Q9" s="77"/>
      <c r="R9" s="77"/>
      <c r="S9" s="77"/>
      <c r="T9" s="77"/>
      <c r="U9" s="77"/>
      <c r="V9" s="77"/>
      <c r="W9" s="77"/>
      <c r="X9" s="77"/>
      <c r="Y9" s="77"/>
      <c r="Z9" s="77"/>
      <c r="AA9" s="77"/>
      <c r="AB9" s="77"/>
      <c r="AC9" s="77"/>
      <c r="AD9" s="77"/>
      <c r="AE9" s="77"/>
      <c r="AF9" s="77"/>
      <c r="AG9" s="77"/>
      <c r="AH9" s="77"/>
      <c r="AI9" s="77"/>
      <c r="AJ9" s="77"/>
      <c r="AK9" s="77"/>
      <c r="AL9" s="77"/>
      <c r="AM9" s="77"/>
      <c r="AN9" s="77"/>
    </row>
    <row r="10" spans="1:40" s="1" customFormat="1" ht="15" customHeight="1" x14ac:dyDescent="0.2">
      <c r="A10" s="58"/>
      <c r="B10" s="50"/>
      <c r="C10" s="50"/>
      <c r="D10" s="50"/>
      <c r="E10" s="58"/>
      <c r="F10" s="13"/>
      <c r="G10" s="13"/>
      <c r="H10" s="13"/>
      <c r="I10" s="13"/>
      <c r="J10" s="13"/>
      <c r="K10" s="13"/>
      <c r="L10" s="13"/>
      <c r="M10" s="13"/>
      <c r="N10" s="13"/>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row>
    <row r="11" spans="1:40" s="1" customFormat="1" ht="15" x14ac:dyDescent="0.25">
      <c r="A11" s="58"/>
      <c r="B11" s="50"/>
      <c r="C11" s="50"/>
      <c r="D11" s="50"/>
      <c r="E11" s="58"/>
      <c r="F11" s="13"/>
      <c r="G11" s="13"/>
      <c r="H11" s="61"/>
      <c r="I11" s="22"/>
      <c r="J11" s="22"/>
      <c r="K11" s="22"/>
      <c r="L11" s="13"/>
      <c r="M11" s="22"/>
      <c r="N11" s="22"/>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row>
    <row r="12" spans="1:40" s="1" customFormat="1" ht="13.9" customHeight="1" x14ac:dyDescent="0.25">
      <c r="A12" s="58"/>
      <c r="B12" s="50" t="s">
        <v>71</v>
      </c>
      <c r="C12" s="50"/>
      <c r="D12" s="50"/>
      <c r="E12" s="58"/>
      <c r="F12" s="13"/>
      <c r="G12" s="13"/>
      <c r="H12" s="14"/>
      <c r="I12" s="15"/>
      <c r="J12" s="15"/>
      <c r="K12" s="15"/>
      <c r="L12" s="13"/>
      <c r="M12" s="14"/>
      <c r="N12" s="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row>
    <row r="13" spans="1:40" s="1" customFormat="1" ht="15" x14ac:dyDescent="0.25">
      <c r="A13" s="58"/>
      <c r="B13" s="50"/>
      <c r="C13" s="50"/>
      <c r="D13" s="50"/>
      <c r="E13" s="58"/>
      <c r="F13" s="13"/>
      <c r="G13" s="13"/>
      <c r="H13" s="15"/>
      <c r="I13" s="13"/>
      <c r="J13" s="13"/>
      <c r="K13" s="13"/>
      <c r="L13" s="13"/>
      <c r="M13" s="15"/>
      <c r="N13" s="13"/>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row>
    <row r="14" spans="1:40" s="1" customFormat="1" ht="15.75" customHeight="1" x14ac:dyDescent="0.25">
      <c r="A14" s="58"/>
      <c r="B14" s="50"/>
      <c r="C14" s="50"/>
      <c r="D14" s="50"/>
      <c r="E14" s="58"/>
      <c r="F14" s="13"/>
      <c r="G14" s="64" t="s">
        <v>44</v>
      </c>
      <c r="H14" s="64"/>
      <c r="I14" s="64"/>
      <c r="J14" s="64"/>
      <c r="K14" s="64"/>
      <c r="L14" s="64"/>
      <c r="M14" s="64"/>
      <c r="N14" s="13"/>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row>
    <row r="15" spans="1:40" s="1" customFormat="1" ht="15" x14ac:dyDescent="0.25">
      <c r="A15" s="58"/>
      <c r="B15" s="50"/>
      <c r="C15" s="50"/>
      <c r="D15" s="50"/>
      <c r="E15" s="58"/>
      <c r="F15" s="13"/>
      <c r="G15" s="65"/>
      <c r="H15" s="66"/>
      <c r="I15" s="66"/>
      <c r="J15" s="66"/>
      <c r="K15" s="66"/>
      <c r="L15" s="65"/>
      <c r="M15" s="66"/>
      <c r="N15" s="13"/>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row>
    <row r="16" spans="1:40" s="1" customFormat="1" ht="15" customHeight="1" x14ac:dyDescent="0.2">
      <c r="A16" s="58"/>
      <c r="B16" s="50"/>
      <c r="C16" s="50"/>
      <c r="D16" s="50"/>
      <c r="E16" s="58"/>
      <c r="F16" s="13"/>
      <c r="G16" s="67" t="str">
        <f>_xll.ICESeries(H16:M16,H17:M17,,_xll.ICERangeDef(,50,"B","TODAY()",0,"D"),,,"Snapshot=False","TimelineMerge=Intersection","DayOfWeek=12345")</f>
        <v>Time Series</v>
      </c>
      <c r="H16" s="68" t="s">
        <v>29</v>
      </c>
      <c r="I16" s="68" t="s">
        <v>29</v>
      </c>
      <c r="J16" s="68" t="s">
        <v>29</v>
      </c>
      <c r="K16" s="68" t="s">
        <v>29</v>
      </c>
      <c r="L16" s="68" t="s">
        <v>29</v>
      </c>
      <c r="M16" s="68" t="s">
        <v>29</v>
      </c>
      <c r="N16" s="13"/>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row>
    <row r="17" spans="1:40" s="1" customFormat="1" ht="15" x14ac:dyDescent="0.25">
      <c r="A17" s="58"/>
      <c r="B17" s="50"/>
      <c r="C17" s="50"/>
      <c r="D17" s="50"/>
      <c r="E17" s="58"/>
      <c r="F17" s="13"/>
      <c r="G17" s="65"/>
      <c r="H17" s="65" t="s">
        <v>1</v>
      </c>
      <c r="I17" s="65" t="s">
        <v>23</v>
      </c>
      <c r="J17" s="65" t="s">
        <v>22</v>
      </c>
      <c r="K17" s="66" t="s">
        <v>24</v>
      </c>
      <c r="L17" s="65" t="s">
        <v>25</v>
      </c>
      <c r="M17" s="65" t="s">
        <v>26</v>
      </c>
      <c r="N17" s="2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row>
    <row r="18" spans="1:40" s="1" customFormat="1" ht="15" x14ac:dyDescent="0.25">
      <c r="A18" s="58"/>
      <c r="B18" s="50"/>
      <c r="C18" s="50"/>
      <c r="D18" s="50"/>
      <c r="E18" s="58"/>
      <c r="F18" s="13"/>
      <c r="G18" s="69"/>
      <c r="H18" s="70" t="str">
        <f>RTD("ice.xl",,H16,_xll.ICEFldID("Description"))</f>
        <v>LIGHT CRUDE OIL-WTI</v>
      </c>
      <c r="I18" s="70" t="str">
        <f>RTD("ice.xl",,I16,_xll.ICEFldID("Description"))</f>
        <v>LIGHT CRUDE OIL-WTI</v>
      </c>
      <c r="J18" s="70" t="str">
        <f>RTD("ice.xl",,J16,_xll.ICEFldID("Description"))</f>
        <v>LIGHT CRUDE OIL-WTI</v>
      </c>
      <c r="K18" s="70" t="str">
        <f>RTD("ice.xl",,K16,_xll.ICEFldID("Description"))</f>
        <v>LIGHT CRUDE OIL-WTI</v>
      </c>
      <c r="L18" s="70" t="str">
        <f>RTD("ice.xl",,L16,_xll.ICEFldID("Description"))</f>
        <v>LIGHT CRUDE OIL-WTI</v>
      </c>
      <c r="M18" s="70" t="str">
        <f>RTD("ice.xl",,M16,_xll.ICEFldID("Description"))</f>
        <v>LIGHT CRUDE OIL-WTI</v>
      </c>
      <c r="N18" s="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row>
    <row r="19" spans="1:40" s="1" customFormat="1" x14ac:dyDescent="0.2">
      <c r="A19" s="58"/>
      <c r="B19" s="50"/>
      <c r="C19" s="50"/>
      <c r="D19" s="50"/>
      <c r="E19" s="58"/>
      <c r="F19" s="13"/>
      <c r="G19" s="71">
        <f>RTD("ice.xl",,"*HT",_xll.ICEJoinRange(H16:M16),"D[dow:12345][tl:Intersection]","50;TODAY() - 0D","49")</f>
        <v>44588.25</v>
      </c>
      <c r="H19" s="72">
        <f>RTD("ice.xl",,"*H",H$16,_xll.ICEFldID(H$17),"D",$G19)</f>
        <v>86.61</v>
      </c>
      <c r="I19" s="72">
        <f>RTD("ice.xl",,"*H",I$16,_xll.ICEFldID(I$17),"D",$G19)</f>
        <v>88.55</v>
      </c>
      <c r="J19" s="72">
        <f>RTD("ice.xl",,"*H",J$16,_xll.ICEFldID(J$17),"D",$G19)</f>
        <v>87.17</v>
      </c>
      <c r="K19" s="72">
        <f>RTD("ice.xl",,"*H",K$16,_xll.ICEFldID(K$17),"D",$G19)</f>
        <v>86.22</v>
      </c>
      <c r="L19" s="72">
        <f>RTD("ice.xl",,"*H",L$16,_xll.ICEFldID(L$17),"D",$G19)</f>
        <v>39578</v>
      </c>
      <c r="M19" s="72" t="str">
        <f>RTD("ice.xl",,"*H",M$16,_xll.ICEFldID(M$17),"D",$G19)</f>
        <v/>
      </c>
      <c r="N19" s="13"/>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row>
    <row r="20" spans="1:40" s="1" customFormat="1" x14ac:dyDescent="0.2">
      <c r="A20" s="58"/>
      <c r="B20" s="50"/>
      <c r="C20" s="50"/>
      <c r="D20" s="50"/>
      <c r="E20" s="58"/>
      <c r="F20" s="13"/>
      <c r="G20" s="71">
        <f>RTD("ice.xl",,"*HT",_xll.ICEJoinRange(H16:M16),"D[dow:12345][tl:Intersection]","50;TODAY() - 0D","48")</f>
        <v>44587.25</v>
      </c>
      <c r="H20" s="72">
        <f>RTD("ice.xl",,"*H",H$16,_xll.ICEFldID(H$17),"D",$G20)</f>
        <v>87.35</v>
      </c>
      <c r="I20" s="72">
        <f>RTD("ice.xl",,"*H",I$16,_xll.ICEFldID(I$17),"D",$G20)</f>
        <v>87.93</v>
      </c>
      <c r="J20" s="72">
        <f>RTD("ice.xl",,"*H",J$16,_xll.ICEFldID(J$17),"D",$G20)</f>
        <v>85.22</v>
      </c>
      <c r="K20" s="72">
        <f>RTD("ice.xl",,"*H",K$16,_xll.ICEFldID(K$17),"D",$G20)</f>
        <v>85.02</v>
      </c>
      <c r="L20" s="72">
        <f>RTD("ice.xl",,"*H",L$16,_xll.ICEFldID(L$17),"D",$G20)</f>
        <v>47453</v>
      </c>
      <c r="M20" s="72">
        <f>RTD("ice.xl",,"*H",M$16,_xll.ICEFldID(M$17),"D",$G20)</f>
        <v>65955</v>
      </c>
      <c r="N20" s="13"/>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row>
    <row r="21" spans="1:40" s="1" customFormat="1" ht="15" customHeight="1" x14ac:dyDescent="0.2">
      <c r="A21" s="58"/>
      <c r="B21" s="63"/>
      <c r="C21" s="63"/>
      <c r="D21" s="63"/>
      <c r="E21" s="58"/>
      <c r="F21" s="13"/>
      <c r="G21" s="71">
        <f>RTD("ice.xl",,"*HT",_xll.ICEJoinRange(H16:M16),"D[dow:12345][tl:Intersection]","50;TODAY() - 0D","47")</f>
        <v>44586.25</v>
      </c>
      <c r="H21" s="72">
        <f>RTD("ice.xl",,"*H",H$16,_xll.ICEFldID(H$17),"D",$G21)</f>
        <v>85.6</v>
      </c>
      <c r="I21" s="72">
        <f>RTD("ice.xl",,"*H",I$16,_xll.ICEFldID(I$17),"D",$G21)</f>
        <v>85.7</v>
      </c>
      <c r="J21" s="72">
        <f>RTD("ice.xl",,"*H",J$16,_xll.ICEFldID(J$17),"D",$G21)</f>
        <v>83.58</v>
      </c>
      <c r="K21" s="72">
        <f>RTD("ice.xl",,"*H",K$16,_xll.ICEFldID(K$17),"D",$G21)</f>
        <v>83.01</v>
      </c>
      <c r="L21" s="72">
        <f>RTD("ice.xl",,"*H",L$16,_xll.ICEFldID(L$17),"D",$G21)</f>
        <v>57330</v>
      </c>
      <c r="M21" s="72">
        <f>RTD("ice.xl",,"*H",M$16,_xll.ICEFldID(M$17),"D",$G21)</f>
        <v>74176</v>
      </c>
      <c r="N21" s="13"/>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row>
    <row r="22" spans="1:40" s="1" customFormat="1" ht="15" x14ac:dyDescent="0.25">
      <c r="A22" s="58"/>
      <c r="B22" s="63"/>
      <c r="C22" s="63"/>
      <c r="D22" s="63"/>
      <c r="E22" s="58"/>
      <c r="F22" s="13"/>
      <c r="G22" s="71">
        <f>RTD("ice.xl",,"*HT",_xll.ICEJoinRange(H16:M16),"D[dow:12345][tl:Intersection]","50;TODAY() - 0D","46")</f>
        <v>44585.25</v>
      </c>
      <c r="H22" s="72">
        <f>RTD("ice.xl",,"*H",H$16,_xll.ICEFldID(H$17),"D",$G22)</f>
        <v>83.31</v>
      </c>
      <c r="I22" s="72">
        <f>RTD("ice.xl",,"*H",I$16,_xll.ICEFldID(I$17),"D",$G22)</f>
        <v>86.09</v>
      </c>
      <c r="J22" s="72">
        <f>RTD("ice.xl",,"*H",J$16,_xll.ICEFldID(J$17),"D",$G22)</f>
        <v>84.99</v>
      </c>
      <c r="K22" s="72">
        <f>RTD("ice.xl",,"*H",K$16,_xll.ICEFldID(K$17),"D",$G22)</f>
        <v>81.93</v>
      </c>
      <c r="L22" s="72">
        <f>RTD("ice.xl",,"*H",L$16,_xll.ICEFldID(L$17),"D",$G22)</f>
        <v>48155</v>
      </c>
      <c r="M22" s="72">
        <f>RTD("ice.xl",,"*H",M$16,_xll.ICEFldID(M$17),"D",$G22)</f>
        <v>75947</v>
      </c>
      <c r="N22" s="22"/>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row>
    <row r="23" spans="1:40" s="1" customFormat="1" ht="15" x14ac:dyDescent="0.25">
      <c r="A23" s="58"/>
      <c r="B23" s="63"/>
      <c r="C23" s="63"/>
      <c r="D23" s="63"/>
      <c r="E23" s="58"/>
      <c r="F23" s="13"/>
      <c r="G23" s="71">
        <f>RTD("ice.xl",,"*HT",_xll.ICEJoinRange(H16:M16),"D[dow:12345][tl:Intersection]","50;TODAY() - 0D","45")</f>
        <v>44582.25</v>
      </c>
      <c r="H23" s="72">
        <f>RTD("ice.xl",,"*H",H$16,_xll.ICEFldID(H$17),"D",$G23)</f>
        <v>85.14</v>
      </c>
      <c r="I23" s="72">
        <f>RTD("ice.xl",,"*H",I$16,_xll.ICEFldID(I$17),"D",$G23)</f>
        <v>85.54</v>
      </c>
      <c r="J23" s="72">
        <f>RTD("ice.xl",,"*H",J$16,_xll.ICEFldID(J$17),"D",$G23)</f>
        <v>83.78</v>
      </c>
      <c r="K23" s="72">
        <f>RTD("ice.xl",,"*H",K$16,_xll.ICEFldID(K$17),"D",$G23)</f>
        <v>82.81</v>
      </c>
      <c r="L23" s="72">
        <f>RTD("ice.xl",,"*H",L$16,_xll.ICEFldID(L$17),"D",$G23)</f>
        <v>41009</v>
      </c>
      <c r="M23" s="72">
        <f>RTD("ice.xl",,"*H",M$16,_xll.ICEFldID(M$17),"D",$G23)</f>
        <v>76952</v>
      </c>
      <c r="N23" s="15"/>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row>
    <row r="24" spans="1:40" s="1" customFormat="1" x14ac:dyDescent="0.2">
      <c r="A24" s="58"/>
      <c r="B24" s="63"/>
      <c r="C24" s="63"/>
      <c r="D24" s="63"/>
      <c r="E24" s="58"/>
      <c r="F24" s="13"/>
      <c r="G24" s="71">
        <f>RTD("ice.xl",,"*HT",_xll.ICEJoinRange(H16:M16),"D[dow:12345][tl:Intersection]","50;TODAY() - 0D","44")</f>
        <v>44581.25</v>
      </c>
      <c r="H24" s="72">
        <f>RTD("ice.xl",,"*H",H$16,_xll.ICEFldID(H$17),"D",$G24)</f>
        <v>85.55</v>
      </c>
      <c r="I24" s="72">
        <f>RTD("ice.xl",,"*H",I$16,_xll.ICEFldID(I$17),"D",$G24)</f>
        <v>87.1</v>
      </c>
      <c r="J24" s="72">
        <f>RTD("ice.xl",,"*H",J$16,_xll.ICEFldID(J$17),"D",$G24)</f>
        <v>85.25</v>
      </c>
      <c r="K24" s="72">
        <f>RTD("ice.xl",,"*H",K$16,_xll.ICEFldID(K$17),"D",$G24)</f>
        <v>84.21</v>
      </c>
      <c r="L24" s="72">
        <f>RTD("ice.xl",,"*H",L$16,_xll.ICEFldID(L$17),"D",$G24)</f>
        <v>51060</v>
      </c>
      <c r="M24" s="72">
        <f>RTD("ice.xl",,"*H",M$16,_xll.ICEFldID(M$17),"D",$G24)</f>
        <v>74134</v>
      </c>
      <c r="N24" s="13"/>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row>
    <row r="25" spans="1:40" s="1" customFormat="1" x14ac:dyDescent="0.2">
      <c r="A25" s="58"/>
      <c r="B25" s="63"/>
      <c r="C25" s="63"/>
      <c r="D25" s="63"/>
      <c r="E25" s="58"/>
      <c r="F25" s="13"/>
      <c r="G25" s="71">
        <f>RTD("ice.xl",,"*HT",_xll.ICEJoinRange(H16:M16),"D[dow:12345][tl:Intersection]","50;TODAY() - 0D","43")</f>
        <v>44580.25</v>
      </c>
      <c r="H25" s="72">
        <f>RTD("ice.xl",,"*H",H$16,_xll.ICEFldID(H$17),"D",$G25)</f>
        <v>85.8</v>
      </c>
      <c r="I25" s="72">
        <f>RTD("ice.xl",,"*H",I$16,_xll.ICEFldID(I$17),"D",$G25)</f>
        <v>86.78</v>
      </c>
      <c r="J25" s="72">
        <f>RTD("ice.xl",,"*H",J$16,_xll.ICEFldID(J$17),"D",$G25)</f>
        <v>86.07</v>
      </c>
      <c r="K25" s="72">
        <f>RTD("ice.xl",,"*H",K$16,_xll.ICEFldID(K$17),"D",$G25)</f>
        <v>85.01</v>
      </c>
      <c r="L25" s="72">
        <f>RTD("ice.xl",,"*H",L$16,_xll.ICEFldID(L$17),"D",$G25)</f>
        <v>66350</v>
      </c>
      <c r="M25" s="72">
        <f>RTD("ice.xl",,"*H",M$16,_xll.ICEFldID(M$17),"D",$G25)</f>
        <v>74983</v>
      </c>
      <c r="N25" s="13"/>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row>
    <row r="26" spans="1:40" s="1" customFormat="1" x14ac:dyDescent="0.2">
      <c r="A26" s="58"/>
      <c r="B26" s="63"/>
      <c r="C26" s="63"/>
      <c r="D26" s="63"/>
      <c r="E26" s="58"/>
      <c r="F26" s="13"/>
      <c r="G26" s="71">
        <f>RTD("ice.xl",,"*HT",_xll.ICEJoinRange(H16:M16),"D[dow:12345][tl:Intersection]","50;TODAY() - 0D","42")</f>
        <v>44579.25</v>
      </c>
      <c r="H26" s="72">
        <f>RTD("ice.xl",,"*H",H$16,_xll.ICEFldID(H$17),"D",$G26)</f>
        <v>84.83</v>
      </c>
      <c r="I26" s="72">
        <f>RTD("ice.xl",,"*H",I$16,_xll.ICEFldID(I$17),"D",$G26)</f>
        <v>86.02</v>
      </c>
      <c r="J26" s="72">
        <f>RTD("ice.xl",,"*H",J$16,_xll.ICEFldID(J$17),"D",$G26)</f>
        <v>83.67</v>
      </c>
      <c r="K26" s="72">
        <f>RTD("ice.xl",,"*H",K$16,_xll.ICEFldID(K$17),"D",$G26)</f>
        <v>83.67</v>
      </c>
      <c r="L26" s="72">
        <f>RTD("ice.xl",,"*H",L$16,_xll.ICEFldID(L$17),"D",$G26)</f>
        <v>51921</v>
      </c>
      <c r="M26" s="72">
        <f>RTD("ice.xl",,"*H",M$16,_xll.ICEFldID(M$17),"D",$G26)</f>
        <v>77404</v>
      </c>
      <c r="N26" s="13"/>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row>
    <row r="27" spans="1:40" x14ac:dyDescent="0.2">
      <c r="B27" s="63"/>
      <c r="C27" s="63"/>
      <c r="D27" s="63"/>
      <c r="G27" s="73">
        <f>RTD("ice.xl",,"*HT",_xll.ICEJoinRange(H16:M16),"D[dow:12345][tl:Intersection]","50;TODAY() - 0D","41")</f>
        <v>44578.25</v>
      </c>
      <c r="H27" s="74">
        <f>RTD("ice.xl",,"*H",H$16,_xll.ICEFldID(H$17),"D",$G27)</f>
        <v>83.74</v>
      </c>
      <c r="I27" s="74">
        <f>RTD("ice.xl",,"*H",I$16,_xll.ICEFldID(I$17),"D",$G27)</f>
        <v>84.05</v>
      </c>
      <c r="J27" s="74">
        <f>RTD("ice.xl",,"*H",J$16,_xll.ICEFldID(J$17),"D",$G27)</f>
        <v>83.65</v>
      </c>
      <c r="K27" s="74">
        <f>RTD("ice.xl",,"*H",K$16,_xll.ICEFldID(K$17),"D",$G27)</f>
        <v>82.96</v>
      </c>
      <c r="L27" s="74">
        <f>RTD("ice.xl",,"*H",L$16,_xll.ICEFldID(L$17),"D",$G27)</f>
        <v>14186</v>
      </c>
      <c r="M27" s="74">
        <f>RTD("ice.xl",,"*H",M$16,_xll.ICEFldID(M$17),"D",$G27)</f>
        <v>74759</v>
      </c>
    </row>
    <row r="28" spans="1:40" x14ac:dyDescent="0.2">
      <c r="B28" s="63"/>
      <c r="C28" s="63"/>
      <c r="D28" s="63"/>
      <c r="G28" s="73">
        <f>RTD("ice.xl",,"*HT",_xll.ICEJoinRange(H16:M16),"D[dow:12345][tl:Intersection]","50;TODAY() - 0D","40")</f>
        <v>44575.25</v>
      </c>
      <c r="H28" s="74">
        <f>RTD("ice.xl",,"*H",H$16,_xll.ICEFldID(H$17),"D",$G28)</f>
        <v>83.3</v>
      </c>
      <c r="I28" s="74">
        <f>RTD("ice.xl",,"*H",I$16,_xll.ICEFldID(I$17),"D",$G28)</f>
        <v>83.75</v>
      </c>
      <c r="J28" s="74">
        <f>RTD("ice.xl",,"*H",J$16,_xll.ICEFldID(J$17),"D",$G28)</f>
        <v>81.239999999999995</v>
      </c>
      <c r="K28" s="74">
        <f>RTD("ice.xl",,"*H",K$16,_xll.ICEFldID(K$17),"D",$G28)</f>
        <v>81.180000000000007</v>
      </c>
      <c r="L28" s="74">
        <f>RTD("ice.xl",,"*H",L$16,_xll.ICEFldID(L$17),"D",$G28)</f>
        <v>71845</v>
      </c>
      <c r="M28" s="74">
        <f>RTD("ice.xl",,"*H",M$16,_xll.ICEFldID(M$17),"D",$G28)</f>
        <v>72919</v>
      </c>
    </row>
    <row r="29" spans="1:40" x14ac:dyDescent="0.2">
      <c r="G29" s="73">
        <f>RTD("ice.xl",,"*HT",_xll.ICEJoinRange(H16:M16),"D[dow:12345][tl:Intersection]","50;TODAY() - 0D","39")</f>
        <v>44574.25</v>
      </c>
      <c r="H29" s="74">
        <f>RTD("ice.xl",,"*H",H$16,_xll.ICEFldID(H$17),"D",$G29)</f>
        <v>81.62</v>
      </c>
      <c r="I29" s="74">
        <f>RTD("ice.xl",,"*H",I$16,_xll.ICEFldID(I$17),"D",$G29)</f>
        <v>82.3</v>
      </c>
      <c r="J29" s="74">
        <f>RTD("ice.xl",,"*H",J$16,_xll.ICEFldID(J$17),"D",$G29)</f>
        <v>82.2</v>
      </c>
      <c r="K29" s="74">
        <f>RTD("ice.xl",,"*H",K$16,_xll.ICEFldID(K$17),"D",$G29)</f>
        <v>80.95</v>
      </c>
      <c r="L29" s="74">
        <f>RTD("ice.xl",,"*H",L$16,_xll.ICEFldID(L$17),"D",$G29)</f>
        <v>41599</v>
      </c>
      <c r="M29" s="74">
        <f>RTD("ice.xl",,"*H",M$16,_xll.ICEFldID(M$17),"D",$G29)</f>
        <v>67985</v>
      </c>
    </row>
    <row r="30" spans="1:40" x14ac:dyDescent="0.2">
      <c r="G30" s="75">
        <f>RTD("ice.xl",,"*HT",_xll.ICEJoinRange(H16:M16),"D[dow:12345][tl:Intersection]","50;TODAY() - 0D","38")</f>
        <v>44573.25</v>
      </c>
      <c r="H30" s="76">
        <f>RTD("ice.xl",,"*H",H$16,_xll.ICEFldID(H$17),"D",$G30)</f>
        <v>82.02</v>
      </c>
      <c r="I30" s="76">
        <f>RTD("ice.xl",,"*H",I$16,_xll.ICEFldID(I$17),"D",$G30)</f>
        <v>82.41</v>
      </c>
      <c r="J30" s="76">
        <f>RTD("ice.xl",,"*H",J$16,_xll.ICEFldID(J$17),"D",$G30)</f>
        <v>80.8</v>
      </c>
      <c r="K30" s="76">
        <f>RTD("ice.xl",,"*H",K$16,_xll.ICEFldID(K$17),"D",$G30)</f>
        <v>80.58</v>
      </c>
      <c r="L30" s="76">
        <f>RTD("ice.xl",,"*H",L$16,_xll.ICEFldID(L$17),"D",$G30)</f>
        <v>58533</v>
      </c>
      <c r="M30" s="76">
        <f>RTD("ice.xl",,"*H",M$16,_xll.ICEFldID(M$17),"D",$G30)</f>
        <v>65832</v>
      </c>
    </row>
    <row r="31" spans="1:40" x14ac:dyDescent="0.2">
      <c r="G31" s="75">
        <f>RTD("ice.xl",,"*HT",_xll.ICEJoinRange(H16:M16),"D[dow:12345][tl:Intersection]","50;TODAY() - 0D","37")</f>
        <v>44572.25</v>
      </c>
      <c r="H31" s="76">
        <f>RTD("ice.xl",,"*H",H$16,_xll.ICEFldID(H$17),"D",$G31)</f>
        <v>80.67</v>
      </c>
      <c r="I31" s="76">
        <f>RTD("ice.xl",,"*H",I$16,_xll.ICEFldID(I$17),"D",$G31)</f>
        <v>80.94</v>
      </c>
      <c r="J31" s="76">
        <f>RTD("ice.xl",,"*H",J$16,_xll.ICEFldID(J$17),"D",$G31)</f>
        <v>78.12</v>
      </c>
      <c r="K31" s="76">
        <f>RTD("ice.xl",,"*H",K$16,_xll.ICEFldID(K$17),"D",$G31)</f>
        <v>77.94</v>
      </c>
      <c r="L31" s="76">
        <f>RTD("ice.xl",,"*H",L$16,_xll.ICEFldID(L$17),"D",$G31)</f>
        <v>57608</v>
      </c>
      <c r="M31" s="76">
        <f>RTD("ice.xl",,"*H",M$16,_xll.ICEFldID(M$17),"D",$G31)</f>
        <v>69598</v>
      </c>
    </row>
    <row r="32" spans="1:40" x14ac:dyDescent="0.2">
      <c r="G32" s="75">
        <f>RTD("ice.xl",,"*HT",_xll.ICEJoinRange(H16:M16),"D[dow:12345][tl:Intersection]","50;TODAY() - 0D","36")</f>
        <v>44571.25</v>
      </c>
      <c r="H32" s="76">
        <f>RTD("ice.xl",,"*H",H$16,_xll.ICEFldID(H$17),"D",$G32)</f>
        <v>77.7</v>
      </c>
      <c r="I32" s="76">
        <f>RTD("ice.xl",,"*H",I$16,_xll.ICEFldID(I$17),"D",$G32)</f>
        <v>78.91</v>
      </c>
      <c r="J32" s="76">
        <f>RTD("ice.xl",,"*H",J$16,_xll.ICEFldID(J$17),"D",$G32)</f>
        <v>78.48</v>
      </c>
      <c r="K32" s="76">
        <f>RTD("ice.xl",,"*H",K$16,_xll.ICEFldID(K$17),"D",$G32)</f>
        <v>77.42</v>
      </c>
      <c r="L32" s="76">
        <f>RTD("ice.xl",,"*H",L$16,_xll.ICEFldID(L$17),"D",$G32)</f>
        <v>41193</v>
      </c>
      <c r="M32" s="76">
        <f>RTD("ice.xl",,"*H",M$16,_xll.ICEFldID(M$17),"D",$G32)</f>
        <v>66888</v>
      </c>
    </row>
    <row r="33" spans="1:40" s="1" customFormat="1" ht="15" customHeight="1" x14ac:dyDescent="0.2">
      <c r="A33" s="58"/>
      <c r="B33" s="58"/>
      <c r="C33" s="58"/>
      <c r="D33" s="58"/>
      <c r="E33" s="58"/>
      <c r="G33" s="75">
        <f>RTD("ice.xl",,"*HT",_xll.ICEJoinRange(H16:M16),"D[dow:12345][tl:Intersection]","50;TODAY() - 0D","35")</f>
        <v>44568.25</v>
      </c>
      <c r="H33" s="76">
        <f>RTD("ice.xl",,"*H",H$16,_xll.ICEFldID(H$17),"D",$G33)</f>
        <v>78.44</v>
      </c>
      <c r="I33" s="76">
        <f>RTD("ice.xl",,"*H",I$16,_xll.ICEFldID(I$17),"D",$G33)</f>
        <v>79.83</v>
      </c>
      <c r="J33" s="76">
        <f>RTD("ice.xl",,"*H",J$16,_xll.ICEFldID(J$17),"D",$G33)</f>
        <v>78.95</v>
      </c>
      <c r="K33" s="76">
        <f>RTD("ice.xl",,"*H",K$16,_xll.ICEFldID(K$17),"D",$G33)</f>
        <v>78.099999999999994</v>
      </c>
      <c r="L33" s="76">
        <f>RTD("ice.xl",,"*H",L$16,_xll.ICEFldID(L$17),"D",$G33)</f>
        <v>53447</v>
      </c>
      <c r="M33" s="76">
        <f>RTD("ice.xl",,"*H",M$16,_xll.ICEFldID(M$17),"D",$G33)</f>
        <v>66213</v>
      </c>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row>
    <row r="34" spans="1:40" x14ac:dyDescent="0.2">
      <c r="G34" s="75">
        <f>RTD("ice.xl",,"*HT",_xll.ICEJoinRange(H16:M16),"D[dow:12345][tl:Intersection]","50;TODAY() - 0D","34")</f>
        <v>44567.25</v>
      </c>
      <c r="H34" s="76">
        <f>RTD("ice.xl",,"*H",H$16,_xll.ICEFldID(H$17),"D",$G34)</f>
        <v>78.88</v>
      </c>
      <c r="I34" s="76">
        <f>RTD("ice.xl",,"*H",I$16,_xll.ICEFldID(I$17),"D",$G34)</f>
        <v>79.56</v>
      </c>
      <c r="J34" s="76">
        <f>RTD("ice.xl",,"*H",J$16,_xll.ICEFldID(J$17),"D",$G34)</f>
        <v>76.819999999999993</v>
      </c>
      <c r="K34" s="76">
        <f>RTD("ice.xl",,"*H",K$16,_xll.ICEFldID(K$17),"D",$G34)</f>
        <v>76.38</v>
      </c>
      <c r="L34" s="76">
        <f>RTD("ice.xl",,"*H",L$16,_xll.ICEFldID(L$17),"D",$G34)</f>
        <v>50150</v>
      </c>
      <c r="M34" s="76">
        <f>RTD("ice.xl",,"*H",M$16,_xll.ICEFldID(M$17),"D",$G34)</f>
        <v>65360</v>
      </c>
    </row>
    <row r="35" spans="1:40" x14ac:dyDescent="0.2">
      <c r="G35" s="75">
        <f>RTD("ice.xl",,"*HT",_xll.ICEJoinRange(H16:M16),"D[dow:12345][tl:Intersection]","50;TODAY() - 0D","33")</f>
        <v>44566.25</v>
      </c>
      <c r="H35" s="76">
        <f>RTD("ice.xl",,"*H",H$16,_xll.ICEFldID(H$17),"D",$G35)</f>
        <v>77.47</v>
      </c>
      <c r="I35" s="76">
        <f>RTD("ice.xl",,"*H",I$16,_xll.ICEFldID(I$17),"D",$G35)</f>
        <v>78.16</v>
      </c>
      <c r="J35" s="76">
        <f>RTD("ice.xl",,"*H",J$16,_xll.ICEFldID(J$17),"D",$G35)</f>
        <v>76.84</v>
      </c>
      <c r="K35" s="76">
        <f>RTD("ice.xl",,"*H",K$16,_xll.ICEFldID(K$17),"D",$G35)</f>
        <v>76.27</v>
      </c>
      <c r="L35" s="76">
        <f>RTD("ice.xl",,"*H",L$16,_xll.ICEFldID(L$17),"D",$G35)</f>
        <v>46043</v>
      </c>
      <c r="M35" s="76">
        <f>RTD("ice.xl",,"*H",M$16,_xll.ICEFldID(M$17),"D",$G35)</f>
        <v>61799</v>
      </c>
    </row>
    <row r="36" spans="1:40" s="1" customFormat="1" x14ac:dyDescent="0.2">
      <c r="A36" s="58"/>
      <c r="B36" s="58"/>
      <c r="C36" s="58"/>
      <c r="D36" s="58"/>
      <c r="E36" s="58"/>
      <c r="G36" s="75">
        <f>RTD("ice.xl",,"*HT",_xll.ICEJoinRange(H16:M16),"D[dow:12345][tl:Intersection]","50;TODAY() - 0D","32")</f>
        <v>44565.25</v>
      </c>
      <c r="H36" s="76">
        <f>RTD("ice.xl",,"*H",H$16,_xll.ICEFldID(H$17),"D",$G36)</f>
        <v>76.739999999999995</v>
      </c>
      <c r="I36" s="76">
        <f>RTD("ice.xl",,"*H",I$16,_xll.ICEFldID(I$17),"D",$G36)</f>
        <v>77.39</v>
      </c>
      <c r="J36" s="76">
        <f>RTD("ice.xl",,"*H",J$16,_xll.ICEFldID(J$17),"D",$G36)</f>
        <v>75.760000000000005</v>
      </c>
      <c r="K36" s="76">
        <f>RTD("ice.xl",,"*H",K$16,_xll.ICEFldID(K$17),"D",$G36)</f>
        <v>75.55</v>
      </c>
      <c r="L36" s="76">
        <f>RTD("ice.xl",,"*H",L$16,_xll.ICEFldID(L$17),"D",$G36)</f>
        <v>36765</v>
      </c>
      <c r="M36" s="76">
        <f>RTD("ice.xl",,"*H",M$16,_xll.ICEFldID(M$17),"D",$G36)</f>
        <v>57477</v>
      </c>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row>
    <row r="37" spans="1:40" x14ac:dyDescent="0.2">
      <c r="G37" s="75">
        <f>RTD("ice.xl",,"*HT",_xll.ICEJoinRange(H16:M16),"D[dow:12345][tl:Intersection]","50;TODAY() - 0D","31")</f>
        <v>44564.25</v>
      </c>
      <c r="H37" s="76">
        <f>RTD("ice.xl",,"*H",H$16,_xll.ICEFldID(H$17),"D",$G37)</f>
        <v>75.849999999999994</v>
      </c>
      <c r="I37" s="76">
        <f>RTD("ice.xl",,"*H",I$16,_xll.ICEFldID(I$17),"D",$G37)</f>
        <v>76.19</v>
      </c>
      <c r="J37" s="76">
        <f>RTD("ice.xl",,"*H",J$16,_xll.ICEFldID(J$17),"D",$G37)</f>
        <v>75.23</v>
      </c>
      <c r="K37" s="76">
        <f>RTD("ice.xl",,"*H",K$16,_xll.ICEFldID(K$17),"D",$G37)</f>
        <v>74.099999999999994</v>
      </c>
      <c r="L37" s="76">
        <f>RTD("ice.xl",,"*H",L$16,_xll.ICEFldID(L$17),"D",$G37)</f>
        <v>23790</v>
      </c>
      <c r="M37" s="76">
        <f>RTD("ice.xl",,"*H",M$16,_xll.ICEFldID(M$17),"D",$G37)</f>
        <v>55015</v>
      </c>
    </row>
    <row r="38" spans="1:40" s="3" customFormat="1" ht="15" customHeight="1" x14ac:dyDescent="0.2">
      <c r="A38" s="58"/>
      <c r="B38" s="58"/>
      <c r="C38" s="58"/>
      <c r="D38" s="58"/>
      <c r="E38" s="58"/>
      <c r="F38" s="1"/>
      <c r="G38" s="75">
        <f>RTD("ice.xl",,"*HT",_xll.ICEJoinRange(H16:M16),"D[dow:12345][tl:Intersection]","50;TODAY() - 0D","30")</f>
        <v>44561.25</v>
      </c>
      <c r="H38" s="76">
        <f>RTD("ice.xl",,"*H",H$16,_xll.ICEFldID(H$17),"D",$G38)</f>
        <v>74.88</v>
      </c>
      <c r="I38" s="76">
        <f>RTD("ice.xl",,"*H",I$16,_xll.ICEFldID(I$17),"D",$G38)</f>
        <v>76.63</v>
      </c>
      <c r="J38" s="76">
        <f>RTD("ice.xl",,"*H",J$16,_xll.ICEFldID(J$17),"D",$G38)</f>
        <v>75.900000000000006</v>
      </c>
      <c r="K38" s="76">
        <f>RTD("ice.xl",,"*H",K$16,_xll.ICEFldID(K$17),"D",$G38)</f>
        <v>74.64</v>
      </c>
      <c r="L38" s="76">
        <f>RTD("ice.xl",,"*H",L$16,_xll.ICEFldID(L$17),"D",$G38)</f>
        <v>13352</v>
      </c>
      <c r="M38" s="76">
        <f>RTD("ice.xl",,"*H",M$16,_xll.ICEFldID(M$17),"D",$G38)</f>
        <v>52989</v>
      </c>
      <c r="N38" s="1"/>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row>
    <row r="39" spans="1:40" x14ac:dyDescent="0.2">
      <c r="G39" s="75">
        <f>RTD("ice.xl",,"*HT",_xll.ICEJoinRange(H16:M16),"D[dow:12345][tl:Intersection]","50;TODAY() - 0D","29")</f>
        <v>44560.25</v>
      </c>
      <c r="H39" s="76">
        <f>RTD("ice.xl",,"*H",H$16,_xll.ICEFldID(H$17),"D",$G39)</f>
        <v>76.61</v>
      </c>
      <c r="I39" s="76">
        <f>RTD("ice.xl",,"*H",I$16,_xll.ICEFldID(I$17),"D",$G39)</f>
        <v>77.05</v>
      </c>
      <c r="J39" s="76">
        <f>RTD("ice.xl",,"*H",J$16,_xll.ICEFldID(J$17),"D",$G39)</f>
        <v>76.13</v>
      </c>
      <c r="K39" s="76">
        <f>RTD("ice.xl",,"*H",K$16,_xll.ICEFldID(K$17),"D",$G39)</f>
        <v>75.48</v>
      </c>
      <c r="L39" s="76">
        <f>RTD("ice.xl",,"*H",L$16,_xll.ICEFldID(L$17),"D",$G39)</f>
        <v>16294</v>
      </c>
      <c r="M39" s="76">
        <f>RTD("ice.xl",,"*H",M$16,_xll.ICEFldID(M$17),"D",$G39)</f>
        <v>52169</v>
      </c>
    </row>
    <row r="40" spans="1:40" x14ac:dyDescent="0.2">
      <c r="G40" s="75">
        <f>RTD("ice.xl",,"*HT",_xll.ICEJoinRange(H16:M16),"D[dow:12345][tl:Intersection]","50;TODAY() - 0D","28")</f>
        <v>44559.25</v>
      </c>
      <c r="H40" s="76">
        <f>RTD("ice.xl",,"*H",H$16,_xll.ICEFldID(H$17),"D",$G40)</f>
        <v>76.180000000000007</v>
      </c>
      <c r="I40" s="76">
        <f>RTD("ice.xl",,"*H",I$16,_xll.ICEFldID(I$17),"D",$G40)</f>
        <v>76.98</v>
      </c>
      <c r="J40" s="76">
        <f>RTD("ice.xl",,"*H",J$16,_xll.ICEFldID(J$17),"D",$G40)</f>
        <v>75.900000000000006</v>
      </c>
      <c r="K40" s="76">
        <f>RTD("ice.xl",,"*H",K$16,_xll.ICEFldID(K$17),"D",$G40)</f>
        <v>75.069999999999993</v>
      </c>
      <c r="L40" s="76">
        <f>RTD("ice.xl",,"*H",L$16,_xll.ICEFldID(L$17),"D",$G40)</f>
        <v>29283</v>
      </c>
      <c r="M40" s="76">
        <f>RTD("ice.xl",,"*H",M$16,_xll.ICEFldID(M$17),"D",$G40)</f>
        <v>52321</v>
      </c>
    </row>
    <row r="41" spans="1:40" x14ac:dyDescent="0.2">
      <c r="G41" s="75">
        <f>RTD("ice.xl",,"*HT",_xll.ICEJoinRange(H16:M16),"D[dow:12345][tl:Intersection]","50;TODAY() - 0D","27")</f>
        <v>44558.25</v>
      </c>
      <c r="H41" s="76">
        <f>RTD("ice.xl",,"*H",H$16,_xll.ICEFldID(H$17),"D",$G41)</f>
        <v>75.599999999999994</v>
      </c>
      <c r="I41" s="76">
        <f>RTD("ice.xl",,"*H",I$16,_xll.ICEFldID(I$17),"D",$G41)</f>
        <v>76.489999999999995</v>
      </c>
      <c r="J41" s="76">
        <f>RTD("ice.xl",,"*H",J$16,_xll.ICEFldID(J$17),"D",$G41)</f>
        <v>75.34</v>
      </c>
      <c r="K41" s="76">
        <f>RTD("ice.xl",,"*H",K$16,_xll.ICEFldID(K$17),"D",$G41)</f>
        <v>75.17</v>
      </c>
      <c r="L41" s="76">
        <f>RTD("ice.xl",,"*H",L$16,_xll.ICEFldID(L$17),"D",$G41)</f>
        <v>21557</v>
      </c>
      <c r="M41" s="76">
        <f>RTD("ice.xl",,"*H",M$16,_xll.ICEFldID(M$17),"D",$G41)</f>
        <v>52899</v>
      </c>
    </row>
    <row r="42" spans="1:40" x14ac:dyDescent="0.2">
      <c r="G42" s="75">
        <f>RTD("ice.xl",,"*HT",_xll.ICEJoinRange(H16:M16),"D[dow:12345][tl:Intersection]","50;TODAY() - 0D","26")</f>
        <v>44557.25</v>
      </c>
      <c r="H42" s="76">
        <f>RTD("ice.xl",,"*H",H$16,_xll.ICEFldID(H$17),"D",$G42)</f>
        <v>75.180000000000007</v>
      </c>
      <c r="I42" s="76">
        <f>RTD("ice.xl",,"*H",I$16,_xll.ICEFldID(I$17),"D",$G42)</f>
        <v>75.63</v>
      </c>
      <c r="J42" s="76">
        <f>RTD("ice.xl",,"*H",J$16,_xll.ICEFldID(J$17),"D",$G42)</f>
        <v>73.06</v>
      </c>
      <c r="K42" s="76">
        <f>RTD("ice.xl",,"*H",K$16,_xll.ICEFldID(K$17),"D",$G42)</f>
        <v>72.28</v>
      </c>
      <c r="L42" s="76">
        <f>RTD("ice.xl",,"*H",L$16,_xll.ICEFldID(L$17),"D",$G42)</f>
        <v>12939</v>
      </c>
      <c r="M42" s="76">
        <f>RTD("ice.xl",,"*H",M$16,_xll.ICEFldID(M$17),"D",$G42)</f>
        <v>51706</v>
      </c>
    </row>
    <row r="43" spans="1:40" x14ac:dyDescent="0.2">
      <c r="G43" s="75">
        <f>RTD("ice.xl",,"*HT",_xll.ICEJoinRange(H16:M16),"D[dow:12345][tl:Intersection]","50;TODAY() - 0D","25")</f>
        <v>44554.25</v>
      </c>
      <c r="H43" s="76">
        <f>RTD("ice.xl",,"*H",H$16,_xll.ICEFldID(H$17),"D",$G43)</f>
        <v>72.69</v>
      </c>
      <c r="I43" s="76">
        <f>RTD("ice.xl",,"*H",I$16,_xll.ICEFldID(I$17),"D",$G43)</f>
        <v>73.12</v>
      </c>
      <c r="J43" s="76">
        <f>RTD("ice.xl",,"*H",J$16,_xll.ICEFldID(J$17),"D",$G43)</f>
        <v>72.95</v>
      </c>
      <c r="K43" s="76">
        <f>RTD("ice.xl",,"*H",K$16,_xll.ICEFldID(K$17),"D",$G43)</f>
        <v>72.25</v>
      </c>
      <c r="L43" s="76">
        <f>RTD("ice.xl",,"*H",L$16,_xll.ICEFldID(L$17),"D",$G43)</f>
        <v>1086</v>
      </c>
      <c r="M43" s="76">
        <f>RTD("ice.xl",,"*H",M$16,_xll.ICEFldID(M$17),"D",$G43)</f>
        <v>51868</v>
      </c>
      <c r="N43" s="29"/>
    </row>
    <row r="44" spans="1:40" x14ac:dyDescent="0.2">
      <c r="G44" s="75">
        <f>RTD("ice.xl",,"*HT",_xll.ICEJoinRange(H16:M16),"D[dow:12345][tl:Intersection]","50;TODAY() - 0D","24")</f>
        <v>44553.25</v>
      </c>
      <c r="H44" s="76">
        <f>RTD("ice.xl",,"*H",H$16,_xll.ICEFldID(H$17),"D",$G44)</f>
        <v>73.42</v>
      </c>
      <c r="I44" s="76">
        <f>RTD("ice.xl",,"*H",I$16,_xll.ICEFldID(I$17),"D",$G44)</f>
        <v>73.599999999999994</v>
      </c>
      <c r="J44" s="76">
        <f>RTD("ice.xl",,"*H",J$16,_xll.ICEFldID(J$17),"D",$G44)</f>
        <v>72.540000000000006</v>
      </c>
      <c r="K44" s="76">
        <f>RTD("ice.xl",,"*H",K$16,_xll.ICEFldID(K$17),"D",$G44)</f>
        <v>71.91</v>
      </c>
      <c r="L44" s="76">
        <f>RTD("ice.xl",,"*H",L$16,_xll.ICEFldID(L$17),"D",$G44)</f>
        <v>29205</v>
      </c>
      <c r="M44" s="76">
        <f>RTD("ice.xl",,"*H",M$16,_xll.ICEFldID(M$17),"D",$G44)</f>
        <v>51724</v>
      </c>
    </row>
    <row r="45" spans="1:40" x14ac:dyDescent="0.2">
      <c r="G45" s="75">
        <f>RTD("ice.xl",,"*HT",_xll.ICEJoinRange(H16:M16),"D[dow:12345][tl:Intersection]","50;TODAY() - 0D","23")</f>
        <v>44552.25</v>
      </c>
      <c r="H45" s="76">
        <f>RTD("ice.xl",,"*H",H$16,_xll.ICEFldID(H$17),"D",$G45)</f>
        <v>72.33</v>
      </c>
      <c r="I45" s="76">
        <f>RTD("ice.xl",,"*H",I$16,_xll.ICEFldID(I$17),"D",$G45)</f>
        <v>72.62</v>
      </c>
      <c r="J45" s="76">
        <f>RTD("ice.xl",,"*H",J$16,_xll.ICEFldID(J$17),"D",$G45)</f>
        <v>71</v>
      </c>
      <c r="K45" s="76">
        <f>RTD("ice.xl",,"*H",K$16,_xll.ICEFldID(K$17),"D",$G45)</f>
        <v>70.510000000000005</v>
      </c>
      <c r="L45" s="76">
        <f>RTD("ice.xl",,"*H",L$16,_xll.ICEFldID(L$17),"D",$G45)</f>
        <v>29899</v>
      </c>
      <c r="M45" s="76">
        <f>RTD("ice.xl",,"*H",M$16,_xll.ICEFldID(M$17),"D",$G45)</f>
        <v>50643</v>
      </c>
    </row>
    <row r="46" spans="1:40" x14ac:dyDescent="0.2">
      <c r="G46" s="75">
        <f>RTD("ice.xl",,"*HT",_xll.ICEJoinRange(H16:M16),"D[dow:12345][tl:Intersection]","50;TODAY() - 0D","22")</f>
        <v>44551.25</v>
      </c>
      <c r="H46" s="76">
        <f>RTD("ice.xl",,"*H",H$16,_xll.ICEFldID(H$17),"D",$G46)</f>
        <v>70.819999999999993</v>
      </c>
      <c r="I46" s="76">
        <f>RTD("ice.xl",,"*H",I$16,_xll.ICEFldID(I$17),"D",$G46)</f>
        <v>71.19</v>
      </c>
      <c r="J46" s="76">
        <f>RTD("ice.xl",,"*H",J$16,_xll.ICEFldID(J$17),"D",$G46)</f>
        <v>68.8</v>
      </c>
      <c r="K46" s="76">
        <f>RTD("ice.xl",,"*H",K$16,_xll.ICEFldID(K$17),"D",$G46)</f>
        <v>68.319999999999993</v>
      </c>
      <c r="L46" s="76">
        <f>RTD("ice.xl",,"*H",L$16,_xll.ICEFldID(L$17),"D",$G46)</f>
        <v>24772</v>
      </c>
      <c r="M46" s="76">
        <f>RTD("ice.xl",,"*H",M$16,_xll.ICEFldID(M$17),"D",$G46)</f>
        <v>50243</v>
      </c>
    </row>
    <row r="47" spans="1:40" x14ac:dyDescent="0.2">
      <c r="G47" s="75">
        <f>RTD("ice.xl",,"*HT",_xll.ICEJoinRange(H16:M16),"D[dow:12345][tl:Intersection]","50;TODAY() - 0D","21")</f>
        <v>44550.25</v>
      </c>
      <c r="H47" s="76">
        <f>RTD("ice.xl",,"*H",H$16,_xll.ICEFldID(H$17),"D",$G47)</f>
        <v>68.36</v>
      </c>
      <c r="I47" s="76">
        <f>RTD("ice.xl",,"*H",I$16,_xll.ICEFldID(I$17),"D",$G47)</f>
        <v>69.540000000000006</v>
      </c>
      <c r="J47" s="76">
        <f>RTD("ice.xl",,"*H",J$16,_xll.ICEFldID(J$17),"D",$G47)</f>
        <v>69.540000000000006</v>
      </c>
      <c r="K47" s="76">
        <f>RTD("ice.xl",,"*H",K$16,_xll.ICEFldID(K$17),"D",$G47)</f>
        <v>65.97</v>
      </c>
      <c r="L47" s="76">
        <f>RTD("ice.xl",,"*H",L$16,_xll.ICEFldID(L$17),"D",$G47)</f>
        <v>35107</v>
      </c>
      <c r="M47" s="76">
        <f>RTD("ice.xl",,"*H",M$16,_xll.ICEFldID(M$17),"D",$G47)</f>
        <v>50500</v>
      </c>
    </row>
    <row r="48" spans="1:40" x14ac:dyDescent="0.2">
      <c r="G48" s="75">
        <f>RTD("ice.xl",,"*HT",_xll.ICEJoinRange(H16:M16),"D[dow:12345][tl:Intersection]","50;TODAY() - 0D","20")</f>
        <v>44547.25</v>
      </c>
      <c r="H48" s="76">
        <f>RTD("ice.xl",,"*H",H$16,_xll.ICEFldID(H$17),"D",$G48)</f>
        <v>70.349999999999994</v>
      </c>
      <c r="I48" s="76">
        <f>RTD("ice.xl",,"*H",I$16,_xll.ICEFldID(I$17),"D",$G48)</f>
        <v>71.62</v>
      </c>
      <c r="J48" s="76">
        <f>RTD("ice.xl",,"*H",J$16,_xll.ICEFldID(J$17),"D",$G48)</f>
        <v>71.349999999999994</v>
      </c>
      <c r="K48" s="76">
        <f>RTD("ice.xl",,"*H",K$16,_xll.ICEFldID(K$17),"D",$G48)</f>
        <v>69.400000000000006</v>
      </c>
      <c r="L48" s="76">
        <f>RTD("ice.xl",,"*H",L$16,_xll.ICEFldID(L$17),"D",$G48)</f>
        <v>32893</v>
      </c>
      <c r="M48" s="76">
        <f>RTD("ice.xl",,"*H",M$16,_xll.ICEFldID(M$17),"D",$G48)</f>
        <v>49370</v>
      </c>
    </row>
    <row r="49" spans="7:13" x14ac:dyDescent="0.2">
      <c r="G49" s="75">
        <f>RTD("ice.xl",,"*HT",_xll.ICEJoinRange(H16:M16),"D[dow:12345][tl:Intersection]","50;TODAY() - 0D","19")</f>
        <v>44546.25</v>
      </c>
      <c r="H49" s="76">
        <f>RTD("ice.xl",,"*H",H$16,_xll.ICEFldID(H$17),"D",$G49)</f>
        <v>71.75</v>
      </c>
      <c r="I49" s="76">
        <f>RTD("ice.xl",,"*H",I$16,_xll.ICEFldID(I$17),"D",$G49)</f>
        <v>72.290000000000006</v>
      </c>
      <c r="J49" s="76">
        <f>RTD("ice.xl",,"*H",J$16,_xll.ICEFldID(J$17),"D",$G49)</f>
        <v>71.3</v>
      </c>
      <c r="K49" s="76">
        <f>RTD("ice.xl",,"*H",K$16,_xll.ICEFldID(K$17),"D",$G49)</f>
        <v>70.59</v>
      </c>
      <c r="L49" s="76">
        <f>RTD("ice.xl",,"*H",L$16,_xll.ICEFldID(L$17),"D",$G49)</f>
        <v>35166</v>
      </c>
      <c r="M49" s="76">
        <f>RTD("ice.xl",,"*H",M$16,_xll.ICEFldID(M$17),"D",$G49)</f>
        <v>47698</v>
      </c>
    </row>
    <row r="50" spans="7:13" x14ac:dyDescent="0.2">
      <c r="G50" s="75">
        <f>RTD("ice.xl",,"*HT",_xll.ICEJoinRange(H16:M16),"D[dow:12345][tl:Intersection]","50;TODAY() - 0D","18")</f>
        <v>44545.25</v>
      </c>
      <c r="H50" s="76">
        <f>RTD("ice.xl",,"*H",H$16,_xll.ICEFldID(H$17),"D",$G50)</f>
        <v>70.36</v>
      </c>
      <c r="I50" s="76">
        <f>RTD("ice.xl",,"*H",I$16,_xll.ICEFldID(I$17),"D",$G50)</f>
        <v>71.05</v>
      </c>
      <c r="J50" s="76">
        <f>RTD("ice.xl",,"*H",J$16,_xll.ICEFldID(J$17),"D",$G50)</f>
        <v>69.52</v>
      </c>
      <c r="K50" s="76">
        <f>RTD("ice.xl",,"*H",K$16,_xll.ICEFldID(K$17),"D",$G50)</f>
        <v>69.040000000000006</v>
      </c>
      <c r="L50" s="76">
        <f>RTD("ice.xl",,"*H",L$16,_xll.ICEFldID(L$17),"D",$G50)</f>
        <v>29014</v>
      </c>
      <c r="M50" s="76">
        <f>RTD("ice.xl",,"*H",M$16,_xll.ICEFldID(M$17),"D",$G50)</f>
        <v>47125</v>
      </c>
    </row>
    <row r="51" spans="7:13" x14ac:dyDescent="0.2">
      <c r="G51" s="75">
        <f>RTD("ice.xl",,"*HT",_xll.ICEJoinRange(H16:M16),"D[dow:12345][tl:Intersection]","50;TODAY() - 0D","17")</f>
        <v>44544.25</v>
      </c>
      <c r="H51" s="76">
        <f>RTD("ice.xl",,"*H",H$16,_xll.ICEFldID(H$17),"D",$G51)</f>
        <v>70.260000000000005</v>
      </c>
      <c r="I51" s="76">
        <f>RTD("ice.xl",,"*H",I$16,_xll.ICEFldID(I$17),"D",$G51)</f>
        <v>71.510000000000005</v>
      </c>
      <c r="J51" s="76">
        <f>RTD("ice.xl",,"*H",J$16,_xll.ICEFldID(J$17),"D",$G51)</f>
        <v>70.900000000000006</v>
      </c>
      <c r="K51" s="76">
        <f>RTD("ice.xl",,"*H",K$16,_xll.ICEFldID(K$17),"D",$G51)</f>
        <v>69.14</v>
      </c>
      <c r="L51" s="76">
        <f>RTD("ice.xl",,"*H",L$16,_xll.ICEFldID(L$17),"D",$G51)</f>
        <v>29523</v>
      </c>
      <c r="M51" s="76">
        <f>RTD("ice.xl",,"*H",M$16,_xll.ICEFldID(M$17),"D",$G51)</f>
        <v>47639</v>
      </c>
    </row>
    <row r="52" spans="7:13" x14ac:dyDescent="0.2">
      <c r="G52" s="75">
        <f>RTD("ice.xl",,"*HT",_xll.ICEJoinRange(H16:M16),"D[dow:12345][tl:Intersection]","50;TODAY() - 0D","16")</f>
        <v>44543.25</v>
      </c>
      <c r="H52" s="76">
        <f>RTD("ice.xl",,"*H",H$16,_xll.ICEFldID(H$17),"D",$G52)</f>
        <v>70.8</v>
      </c>
      <c r="I52" s="76">
        <f>RTD("ice.xl",,"*H",I$16,_xll.ICEFldID(I$17),"D",$G52)</f>
        <v>72.47</v>
      </c>
      <c r="J52" s="76">
        <f>RTD("ice.xl",,"*H",J$16,_xll.ICEFldID(J$17),"D",$G52)</f>
        <v>72.25</v>
      </c>
      <c r="K52" s="76">
        <f>RTD("ice.xl",,"*H",K$16,_xll.ICEFldID(K$17),"D",$G52)</f>
        <v>70.36</v>
      </c>
      <c r="L52" s="76">
        <f>RTD("ice.xl",,"*H",L$16,_xll.ICEFldID(L$17),"D",$G52)</f>
        <v>26215</v>
      </c>
      <c r="M52" s="76">
        <f>RTD("ice.xl",,"*H",M$16,_xll.ICEFldID(M$17),"D",$G52)</f>
        <v>46586</v>
      </c>
    </row>
    <row r="53" spans="7:13" x14ac:dyDescent="0.2">
      <c r="G53" s="75">
        <f>RTD("ice.xl",,"*HT",_xll.ICEJoinRange(H16:M16),"D[dow:12345][tl:Intersection]","50;TODAY() - 0D","15")</f>
        <v>44540.25</v>
      </c>
      <c r="H53" s="76">
        <f>RTD("ice.xl",,"*H",H$16,_xll.ICEFldID(H$17),"D",$G53)</f>
        <v>71.22</v>
      </c>
      <c r="I53" s="76">
        <f>RTD("ice.xl",,"*H",I$16,_xll.ICEFldID(I$17),"D",$G53)</f>
        <v>71.83</v>
      </c>
      <c r="J53" s="76">
        <f>RTD("ice.xl",,"*H",J$16,_xll.ICEFldID(J$17),"D",$G53)</f>
        <v>69.98</v>
      </c>
      <c r="K53" s="76">
        <f>RTD("ice.xl",,"*H",K$16,_xll.ICEFldID(K$17),"D",$G53)</f>
        <v>69.98</v>
      </c>
      <c r="L53" s="76">
        <f>RTD("ice.xl",,"*H",L$16,_xll.ICEFldID(L$17),"D",$G53)</f>
        <v>30699</v>
      </c>
      <c r="M53" s="76">
        <f>RTD("ice.xl",,"*H",M$16,_xll.ICEFldID(M$17),"D",$G53)</f>
        <v>45848</v>
      </c>
    </row>
    <row r="54" spans="7:13" x14ac:dyDescent="0.2">
      <c r="G54" s="75">
        <f>RTD("ice.xl",,"*HT",_xll.ICEJoinRange(H16:M16),"D[dow:12345][tl:Intersection]","50;TODAY() - 0D","14")</f>
        <v>44539.25</v>
      </c>
      <c r="H54" s="76">
        <f>RTD("ice.xl",,"*H",H$16,_xll.ICEFldID(H$17),"D",$G54)</f>
        <v>70.540000000000006</v>
      </c>
      <c r="I54" s="76">
        <f>RTD("ice.xl",,"*H",I$16,_xll.ICEFldID(I$17),"D",$G54)</f>
        <v>72.69</v>
      </c>
      <c r="J54" s="76">
        <f>RTD("ice.xl",,"*H",J$16,_xll.ICEFldID(J$17),"D",$G54)</f>
        <v>72.3</v>
      </c>
      <c r="K54" s="76">
        <f>RTD("ice.xl",,"*H",K$16,_xll.ICEFldID(K$17),"D",$G54)</f>
        <v>70.09</v>
      </c>
      <c r="L54" s="76">
        <f>RTD("ice.xl",,"*H",L$16,_xll.ICEFldID(L$17),"D",$G54)</f>
        <v>24104</v>
      </c>
      <c r="M54" s="76">
        <f>RTD("ice.xl",,"*H",M$16,_xll.ICEFldID(M$17),"D",$G54)</f>
        <v>44159</v>
      </c>
    </row>
    <row r="55" spans="7:13" x14ac:dyDescent="0.2">
      <c r="G55" s="75">
        <f>RTD("ice.xl",,"*HT",_xll.ICEJoinRange(H16:M16),"D[dow:12345][tl:Intersection]","50;TODAY() - 0D","13")</f>
        <v>44538.25</v>
      </c>
      <c r="H55" s="76">
        <f>RTD("ice.xl",,"*H",H$16,_xll.ICEFldID(H$17),"D",$G55)</f>
        <v>71.900000000000006</v>
      </c>
      <c r="I55" s="76">
        <f>RTD("ice.xl",,"*H",I$16,_xll.ICEFldID(I$17),"D",$G55)</f>
        <v>72.42</v>
      </c>
      <c r="J55" s="76">
        <f>RTD("ice.xl",,"*H",J$16,_xll.ICEFldID(J$17),"D",$G55)</f>
        <v>71.38</v>
      </c>
      <c r="K55" s="76">
        <f>RTD("ice.xl",,"*H",K$16,_xll.ICEFldID(K$17),"D",$G55)</f>
        <v>70.7</v>
      </c>
      <c r="L55" s="76">
        <f>RTD("ice.xl",,"*H",L$16,_xll.ICEFldID(L$17),"D",$G55)</f>
        <v>32593</v>
      </c>
      <c r="M55" s="76">
        <f>RTD("ice.xl",,"*H",M$16,_xll.ICEFldID(M$17),"D",$G55)</f>
        <v>43553</v>
      </c>
    </row>
    <row r="56" spans="7:13" x14ac:dyDescent="0.2">
      <c r="G56" s="75">
        <f>RTD("ice.xl",,"*HT",_xll.ICEJoinRange(H16:M16),"D[dow:12345][tl:Intersection]","50;TODAY() - 0D","12")</f>
        <v>44537.25</v>
      </c>
      <c r="H56" s="76">
        <f>RTD("ice.xl",,"*H",H$16,_xll.ICEFldID(H$17),"D",$G56)</f>
        <v>71.56</v>
      </c>
      <c r="I56" s="76">
        <f>RTD("ice.xl",,"*H",I$16,_xll.ICEFldID(I$17),"D",$G56)</f>
        <v>72.260000000000005</v>
      </c>
      <c r="J56" s="76">
        <f>RTD("ice.xl",,"*H",J$16,_xll.ICEFldID(J$17),"D",$G56)</f>
        <v>69.47</v>
      </c>
      <c r="K56" s="76">
        <f>RTD("ice.xl",,"*H",K$16,_xll.ICEFldID(K$17),"D",$G56)</f>
        <v>69.47</v>
      </c>
      <c r="L56" s="76">
        <f>RTD("ice.xl",,"*H",L$16,_xll.ICEFldID(L$17),"D",$G56)</f>
        <v>40757</v>
      </c>
      <c r="M56" s="76">
        <f>RTD("ice.xl",,"*H",M$16,_xll.ICEFldID(M$17),"D",$G56)</f>
        <v>43815</v>
      </c>
    </row>
    <row r="57" spans="7:13" x14ac:dyDescent="0.2">
      <c r="G57" s="75">
        <f>RTD("ice.xl",,"*HT",_xll.ICEJoinRange(H16:M16),"D[dow:12345][tl:Intersection]","50;TODAY() - 0D","11")</f>
        <v>44536.25</v>
      </c>
      <c r="H57" s="76">
        <f>RTD("ice.xl",,"*H",H$16,_xll.ICEFldID(H$17),"D",$G57)</f>
        <v>69.069999999999993</v>
      </c>
      <c r="I57" s="76">
        <f>RTD("ice.xl",,"*H",I$16,_xll.ICEFldID(I$17),"D",$G57)</f>
        <v>69.510000000000005</v>
      </c>
      <c r="J57" s="76">
        <f>RTD("ice.xl",,"*H",J$16,_xll.ICEFldID(J$17),"D",$G57)</f>
        <v>66.8</v>
      </c>
      <c r="K57" s="76">
        <f>RTD("ice.xl",,"*H",K$16,_xll.ICEFldID(K$17),"D",$G57)</f>
        <v>66.8</v>
      </c>
      <c r="L57" s="76">
        <f>RTD("ice.xl",,"*H",L$16,_xll.ICEFldID(L$17),"D",$G57)</f>
        <v>28618</v>
      </c>
      <c r="M57" s="76">
        <f>RTD("ice.xl",,"*H",M$16,_xll.ICEFldID(M$17),"D",$G57)</f>
        <v>43487</v>
      </c>
    </row>
    <row r="58" spans="7:13" x14ac:dyDescent="0.2">
      <c r="G58" s="75">
        <f>RTD("ice.xl",,"*HT",_xll.ICEJoinRange(H16:M16),"D[dow:12345][tl:Intersection]","50;TODAY() - 0D","10")</f>
        <v>44533.25</v>
      </c>
      <c r="H58" s="76">
        <f>RTD("ice.xl",,"*H",H$16,_xll.ICEFldID(H$17),"D",$G58)</f>
        <v>65.930000000000007</v>
      </c>
      <c r="I58" s="76">
        <f>RTD("ice.xl",,"*H",I$16,_xll.ICEFldID(I$17),"D",$G58)</f>
        <v>68.53</v>
      </c>
      <c r="J58" s="76">
        <f>RTD("ice.xl",,"*H",J$16,_xll.ICEFldID(J$17),"D",$G58)</f>
        <v>66.319999999999993</v>
      </c>
      <c r="K58" s="76">
        <f>RTD("ice.xl",,"*H",K$16,_xll.ICEFldID(K$17),"D",$G58)</f>
        <v>65.33</v>
      </c>
      <c r="L58" s="76">
        <f>RTD("ice.xl",,"*H",L$16,_xll.ICEFldID(L$17),"D",$G58)</f>
        <v>26781</v>
      </c>
      <c r="M58" s="76">
        <f>RTD("ice.xl",,"*H",M$16,_xll.ICEFldID(M$17),"D",$G58)</f>
        <v>43227</v>
      </c>
    </row>
    <row r="59" spans="7:13" x14ac:dyDescent="0.2">
      <c r="G59" s="75">
        <f>RTD("ice.xl",,"*HT",_xll.ICEJoinRange(H16:M16),"D[dow:12345][tl:Intersection]","50;TODAY() - 0D","9")</f>
        <v>44532.25</v>
      </c>
      <c r="H59" s="76">
        <f>RTD("ice.xl",,"*H",H$16,_xll.ICEFldID(H$17),"D",$G59)</f>
        <v>66.03</v>
      </c>
      <c r="I59" s="76">
        <f>RTD("ice.xl",,"*H",I$16,_xll.ICEFldID(I$17),"D",$G59)</f>
        <v>66.739999999999995</v>
      </c>
      <c r="J59" s="76">
        <f>RTD("ice.xl",,"*H",J$16,_xll.ICEFldID(J$17),"D",$G59)</f>
        <v>65.900000000000006</v>
      </c>
      <c r="K59" s="76">
        <f>RTD("ice.xl",,"*H",K$16,_xll.ICEFldID(K$17),"D",$G59)</f>
        <v>62.09</v>
      </c>
      <c r="L59" s="76">
        <f>RTD("ice.xl",,"*H",L$16,_xll.ICEFldID(L$17),"D",$G59)</f>
        <v>42410</v>
      </c>
      <c r="M59" s="76">
        <f>RTD("ice.xl",,"*H",M$16,_xll.ICEFldID(M$17),"D",$G59)</f>
        <v>41165</v>
      </c>
    </row>
    <row r="60" spans="7:13" x14ac:dyDescent="0.2">
      <c r="G60" s="75">
        <f>RTD("ice.xl",,"*HT",_xll.ICEJoinRange(H16:M16),"D[dow:12345][tl:Intersection]","50;TODAY() - 0D","8")</f>
        <v>44531.25</v>
      </c>
      <c r="H60" s="76">
        <f>RTD("ice.xl",,"*H",H$16,_xll.ICEFldID(H$17),"D",$G60)</f>
        <v>65.11</v>
      </c>
      <c r="I60" s="76">
        <f>RTD("ice.xl",,"*H",I$16,_xll.ICEFldID(I$17),"D",$G60)</f>
        <v>68.709999999999994</v>
      </c>
      <c r="J60" s="76">
        <f>RTD("ice.xl",,"*H",J$16,_xll.ICEFldID(J$17),"D",$G60)</f>
        <v>66.23</v>
      </c>
      <c r="K60" s="76">
        <f>RTD("ice.xl",,"*H",K$16,_xll.ICEFldID(K$17),"D",$G60)</f>
        <v>64.900000000000006</v>
      </c>
      <c r="L60" s="76">
        <f>RTD("ice.xl",,"*H",L$16,_xll.ICEFldID(L$17),"D",$G60)</f>
        <v>35357</v>
      </c>
      <c r="M60" s="76">
        <f>RTD("ice.xl",,"*H",M$16,_xll.ICEFldID(M$17),"D",$G60)</f>
        <v>41089</v>
      </c>
    </row>
    <row r="61" spans="7:13" x14ac:dyDescent="0.2">
      <c r="G61" s="75">
        <f>RTD("ice.xl",,"*HT",_xll.ICEJoinRange(H16:M16),"D[dow:12345][tl:Intersection]","50;TODAY() - 0D","7")</f>
        <v>44530.25</v>
      </c>
      <c r="H61" s="76">
        <f>RTD("ice.xl",,"*H",H$16,_xll.ICEFldID(H$17),"D",$G61)</f>
        <v>65.489999999999995</v>
      </c>
      <c r="I61" s="76">
        <f>RTD("ice.xl",,"*H",I$16,_xll.ICEFldID(I$17),"D",$G61)</f>
        <v>70.3</v>
      </c>
      <c r="J61" s="76">
        <f>RTD("ice.xl",,"*H",J$16,_xll.ICEFldID(J$17),"D",$G61)</f>
        <v>70.2</v>
      </c>
      <c r="K61" s="76">
        <f>RTD("ice.xl",,"*H",K$16,_xll.ICEFldID(K$17),"D",$G61)</f>
        <v>64.02</v>
      </c>
      <c r="L61" s="76">
        <f>RTD("ice.xl",,"*H",L$16,_xll.ICEFldID(L$17),"D",$G61)</f>
        <v>38412</v>
      </c>
      <c r="M61" s="76">
        <f>RTD("ice.xl",,"*H",M$16,_xll.ICEFldID(M$17),"D",$G61)</f>
        <v>42617</v>
      </c>
    </row>
    <row r="62" spans="7:13" x14ac:dyDescent="0.2">
      <c r="G62" s="75">
        <f>RTD("ice.xl",,"*HT",_xll.ICEJoinRange(H16:M16),"D[dow:12345][tl:Intersection]","50;TODAY() - 0D","6")</f>
        <v>44529.25</v>
      </c>
      <c r="H62" s="76">
        <f>RTD("ice.xl",,"*H",H$16,_xll.ICEFldID(H$17),"D",$G62)</f>
        <v>69.28</v>
      </c>
      <c r="I62" s="76">
        <f>RTD("ice.xl",,"*H",I$16,_xll.ICEFldID(I$17),"D",$G62)</f>
        <v>71.89</v>
      </c>
      <c r="J62" s="76">
        <f>RTD("ice.xl",,"*H",J$16,_xll.ICEFldID(J$17),"D",$G62)</f>
        <v>70.28</v>
      </c>
      <c r="K62" s="76">
        <f>RTD("ice.xl",,"*H",K$16,_xll.ICEFldID(K$17),"D",$G62)</f>
        <v>68.48</v>
      </c>
      <c r="L62" s="76">
        <f>RTD("ice.xl",,"*H",L$16,_xll.ICEFldID(L$17),"D",$G62)</f>
        <v>27628</v>
      </c>
      <c r="M62" s="76">
        <f>RTD("ice.xl",,"*H",M$16,_xll.ICEFldID(M$17),"D",$G62)</f>
        <v>38681</v>
      </c>
    </row>
    <row r="63" spans="7:13" x14ac:dyDescent="0.2">
      <c r="G63" s="75">
        <f>RTD("ice.xl",,"*HT",_xll.ICEJoinRange(H16:M16),"D[dow:12345][tl:Intersection]","50;TODAY() - 0D","5")</f>
        <v>44526.25</v>
      </c>
      <c r="H63" s="76">
        <f>RTD("ice.xl",,"*H",H$16,_xll.ICEFldID(H$17),"D",$G63)</f>
        <v>67.48</v>
      </c>
      <c r="I63" s="76">
        <f>RTD("ice.xl",,"*H",I$16,_xll.ICEFldID(I$17),"D",$G63)</f>
        <v>76.12</v>
      </c>
      <c r="J63" s="76">
        <f>RTD("ice.xl",,"*H",J$16,_xll.ICEFldID(J$17),"D",$G63)</f>
        <v>76.099999999999994</v>
      </c>
      <c r="K63" s="76">
        <f>RTD("ice.xl",,"*H",K$16,_xll.ICEFldID(K$17),"D",$G63)</f>
        <v>67</v>
      </c>
      <c r="L63" s="76">
        <f>RTD("ice.xl",,"*H",L$16,_xll.ICEFldID(L$17),"D",$G63)</f>
        <v>27624</v>
      </c>
      <c r="M63" s="76">
        <f>RTD("ice.xl",,"*H",M$16,_xll.ICEFldID(M$17),"D",$G63)</f>
        <v>39800</v>
      </c>
    </row>
    <row r="64" spans="7:13" x14ac:dyDescent="0.2">
      <c r="G64" s="75">
        <f>RTD("ice.xl",,"*HT",_xll.ICEJoinRange(H16:M16),"D[dow:12345][tl:Intersection]","50;TODAY() - 0D","4")</f>
        <v>44525.25</v>
      </c>
      <c r="H64" s="76">
        <f>RTD("ice.xl",,"*H",H$16,_xll.ICEFldID(H$17),"D",$G64)</f>
        <v>76.91</v>
      </c>
      <c r="I64" s="76">
        <f>RTD("ice.xl",,"*H",I$16,_xll.ICEFldID(I$17),"D",$G64)</f>
        <v>77.27</v>
      </c>
      <c r="J64" s="76">
        <f>RTD("ice.xl",,"*H",J$16,_xll.ICEFldID(J$17),"D",$G64)</f>
        <v>77.2</v>
      </c>
      <c r="K64" s="76">
        <f>RTD("ice.xl",,"*H",K$16,_xll.ICEFldID(K$17),"D",$G64)</f>
        <v>76.59</v>
      </c>
      <c r="L64" s="76">
        <f>RTD("ice.xl",,"*H",L$16,_xll.ICEFldID(L$17),"D",$G64)</f>
        <v>3106</v>
      </c>
      <c r="M64" s="76">
        <f>RTD("ice.xl",,"*H",M$16,_xll.ICEFldID(M$17),"D",$G64)</f>
        <v>41999</v>
      </c>
    </row>
    <row r="65" spans="7:13" x14ac:dyDescent="0.2">
      <c r="G65" s="75">
        <f>RTD("ice.xl",,"*HT",_xll.ICEJoinRange(H16:M16),"D[dow:12345][tl:Intersection]","50;TODAY() - 0D","3")</f>
        <v>44524.25</v>
      </c>
      <c r="H65" s="76">
        <f>RTD("ice.xl",,"*H",H$16,_xll.ICEFldID(H$17),"D",$G65)</f>
        <v>77.150000000000006</v>
      </c>
      <c r="I65" s="76">
        <f>RTD("ice.xl",,"*H",I$16,_xll.ICEFldID(I$17),"D",$G65)</f>
        <v>77.75</v>
      </c>
      <c r="J65" s="76">
        <f>RTD("ice.xl",,"*H",J$16,_xll.ICEFldID(J$17),"D",$G65)</f>
        <v>77.010000000000005</v>
      </c>
      <c r="K65" s="76">
        <f>RTD("ice.xl",,"*H",K$16,_xll.ICEFldID(K$17),"D",$G65)</f>
        <v>76.77</v>
      </c>
      <c r="L65" s="76">
        <f>RTD("ice.xl",,"*H",L$16,_xll.ICEFldID(L$17),"D",$G65)</f>
        <v>14330</v>
      </c>
      <c r="M65" s="76">
        <f>RTD("ice.xl",,"*H",M$16,_xll.ICEFldID(M$17),"D",$G65)</f>
        <v>42135</v>
      </c>
    </row>
    <row r="66" spans="7:13" x14ac:dyDescent="0.2">
      <c r="G66" s="75">
        <f>RTD("ice.xl",,"*HT",_xll.ICEJoinRange(H16:M16),"D[dow:12345][tl:Intersection]","50;TODAY() - 0D","2")</f>
        <v>44523.25</v>
      </c>
      <c r="H66" s="76">
        <f>RTD("ice.xl",,"*H",H$16,_xll.ICEFldID(H$17),"D",$G66)</f>
        <v>77.27</v>
      </c>
      <c r="I66" s="76">
        <f>RTD("ice.xl",,"*H",I$16,_xll.ICEFldID(I$17),"D",$G66)</f>
        <v>77.47</v>
      </c>
      <c r="J66" s="76">
        <f>RTD("ice.xl",,"*H",J$16,_xll.ICEFldID(J$17),"D",$G66)</f>
        <v>74.64</v>
      </c>
      <c r="K66" s="76">
        <f>RTD("ice.xl",,"*H",K$16,_xll.ICEFldID(K$17),"D",$G66)</f>
        <v>74.25</v>
      </c>
      <c r="L66" s="76">
        <f>RTD("ice.xl",,"*H",L$16,_xll.ICEFldID(L$17),"D",$G66)</f>
        <v>40167</v>
      </c>
      <c r="M66" s="76">
        <f>RTD("ice.xl",,"*H",M$16,_xll.ICEFldID(M$17),"D",$G66)</f>
        <v>42592</v>
      </c>
    </row>
    <row r="67" spans="7:13" x14ac:dyDescent="0.2">
      <c r="G67" s="75">
        <f>RTD("ice.xl",,"*HT",_xll.ICEJoinRange(H16:M16),"D[dow:12345][tl:Intersection]","50;TODAY() - 0D","1")</f>
        <v>44522.25</v>
      </c>
      <c r="H67" s="76">
        <f>RTD("ice.xl",,"*H",H$16,_xll.ICEFldID(H$17),"D",$G67)</f>
        <v>75.39</v>
      </c>
      <c r="I67" s="76">
        <f>RTD("ice.xl",,"*H",I$16,_xll.ICEFldID(I$17),"D",$G67)</f>
        <v>75.67</v>
      </c>
      <c r="J67" s="76">
        <f>RTD("ice.xl",,"*H",J$16,_xll.ICEFldID(J$17),"D",$G67)</f>
        <v>73.680000000000007</v>
      </c>
      <c r="K67" s="76">
        <f>RTD("ice.xl",,"*H",K$16,_xll.ICEFldID(K$17),"D",$G67)</f>
        <v>73.680000000000007</v>
      </c>
      <c r="L67" s="76">
        <f>RTD("ice.xl",,"*H",L$16,_xll.ICEFldID(L$17),"D",$G67)</f>
        <v>19054</v>
      </c>
      <c r="M67" s="76">
        <f>RTD("ice.xl",,"*H",M$16,_xll.ICEFldID(M$17),"D",$G67)</f>
        <v>46332</v>
      </c>
    </row>
    <row r="68" spans="7:13" x14ac:dyDescent="0.2">
      <c r="G68" s="75">
        <f>RTD("ice.xl",,"*HT",_xll.ICEJoinRange(H16:M16),"D[dow:12345][tl:Intersection]","50;TODAY() - 0D","0")</f>
        <v>44519.25</v>
      </c>
      <c r="H68" s="76">
        <f>RTD("ice.xl",,"*H",H$16,_xll.ICEFldID(H$17),"D",$G68)</f>
        <v>74.42</v>
      </c>
      <c r="I68" s="76">
        <f>RTD("ice.xl",,"*H",I$16,_xll.ICEFldID(I$17),"D",$G68)</f>
        <v>77.44</v>
      </c>
      <c r="J68" s="76">
        <f>RTD("ice.xl",,"*H",J$16,_xll.ICEFldID(J$17),"D",$G68)</f>
        <v>77.44</v>
      </c>
      <c r="K68" s="76">
        <f>RTD("ice.xl",,"*H",K$16,_xll.ICEFldID(K$17),"D",$G68)</f>
        <v>73.739999999999995</v>
      </c>
      <c r="L68" s="76">
        <f>RTD("ice.xl",,"*H",L$16,_xll.ICEFldID(L$17),"D",$G68)</f>
        <v>24528</v>
      </c>
      <c r="M68" s="76">
        <f>RTD("ice.xl",,"*H",M$16,_xll.ICEFldID(M$17),"D",$G68)</f>
        <v>47292</v>
      </c>
    </row>
  </sheetData>
  <mergeCells count="7">
    <mergeCell ref="G14:M14"/>
    <mergeCell ref="H6:K6"/>
    <mergeCell ref="I8:M8"/>
    <mergeCell ref="B5:D5"/>
    <mergeCell ref="B7:D7"/>
    <mergeCell ref="B8:D11"/>
    <mergeCell ref="B12:D20"/>
  </mergeCells>
  <dataValidations count="1">
    <dataValidation type="list" allowBlank="1" showInputMessage="1" showErrorMessage="1" sqref="I8" xr:uid="{00000000-0002-0000-0300-000000000000}">
      <formula1>#REF!</formula1>
    </dataValidation>
  </dataValidations>
  <pageMargins left="0.7" right="0.7" top="0.75" bottom="0.75" header="0.3" footer="0.3"/>
  <pageSetup orientation="landscape"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9997558519241921"/>
  </sheetPr>
  <dimension ref="A3:AJ68"/>
  <sheetViews>
    <sheetView workbookViewId="0">
      <selection activeCell="G29" sqref="G29"/>
    </sheetView>
  </sheetViews>
  <sheetFormatPr defaultColWidth="7.5546875" defaultRowHeight="14.25" x14ac:dyDescent="0.2"/>
  <cols>
    <col min="1" max="1" width="1.33203125" style="58" customWidth="1"/>
    <col min="2" max="2" width="7.5546875" style="58"/>
    <col min="3" max="3" width="8.33203125" style="58" bestFit="1" customWidth="1"/>
    <col min="4" max="4" width="7.5546875" style="58"/>
    <col min="5" max="5" width="1.33203125" style="58" customWidth="1"/>
    <col min="6" max="6" width="7.5546875" style="1"/>
    <col min="7" max="7" width="15.5546875" style="1" bestFit="1" customWidth="1"/>
    <col min="8" max="11" width="7.5546875" style="1" customWidth="1"/>
    <col min="12" max="12" width="9.5546875" style="1" bestFit="1" customWidth="1"/>
    <col min="13" max="13" width="7.5546875" style="1" customWidth="1"/>
    <col min="14" max="14" width="15.5546875" style="1" bestFit="1" customWidth="1"/>
    <col min="15" max="15" width="7.5546875" style="1" customWidth="1"/>
    <col min="16" max="16" width="15.5546875" style="1" bestFit="1" customWidth="1"/>
    <col min="17" max="17" width="9.5546875" style="1" bestFit="1" customWidth="1"/>
    <col min="18" max="18" width="7" style="1" bestFit="1" customWidth="1"/>
    <col min="19" max="19" width="9.88671875" style="1" customWidth="1"/>
    <col min="20" max="20" width="10.88671875" style="1" customWidth="1"/>
    <col min="21" max="21" width="15.5546875" style="1" bestFit="1" customWidth="1"/>
    <col min="22" max="22" width="7.5546875" style="1" customWidth="1"/>
    <col min="23" max="31" width="7.5546875" style="1"/>
    <col min="32" max="16384" width="7.5546875" style="2"/>
  </cols>
  <sheetData>
    <row r="3" spans="1:36" ht="20.25" x14ac:dyDescent="0.3">
      <c r="H3" s="52" t="s">
        <v>45</v>
      </c>
      <c r="I3" s="52"/>
      <c r="J3" s="52"/>
      <c r="K3" s="52"/>
    </row>
    <row r="4" spans="1:36" ht="6.75" customHeight="1" x14ac:dyDescent="0.2"/>
    <row r="5" spans="1:36" ht="15" x14ac:dyDescent="0.25">
      <c r="B5" s="59"/>
      <c r="C5" s="59"/>
      <c r="D5" s="59"/>
      <c r="F5" s="13"/>
      <c r="G5" s="13"/>
      <c r="H5" s="13"/>
      <c r="I5" s="13"/>
      <c r="J5" s="13"/>
      <c r="K5" s="13"/>
      <c r="L5" s="13"/>
      <c r="M5" s="13"/>
      <c r="N5" s="13"/>
      <c r="O5" s="13"/>
      <c r="P5" s="13"/>
      <c r="Q5" s="13"/>
      <c r="R5" s="13"/>
      <c r="S5" s="13"/>
      <c r="T5" s="13"/>
      <c r="U5" s="13"/>
    </row>
    <row r="6" spans="1:36" s="1" customFormat="1" ht="15" x14ac:dyDescent="0.25">
      <c r="A6" s="58"/>
      <c r="B6" s="58"/>
      <c r="C6" s="58"/>
      <c r="D6" s="58"/>
      <c r="E6" s="58"/>
      <c r="F6" s="13"/>
      <c r="G6" s="51" t="s">
        <v>52</v>
      </c>
      <c r="H6" s="51"/>
      <c r="I6" s="51"/>
      <c r="J6" s="51"/>
      <c r="K6" s="51"/>
      <c r="L6" s="51"/>
      <c r="M6" s="51"/>
      <c r="N6" s="51"/>
      <c r="O6" s="22"/>
      <c r="P6" s="51"/>
      <c r="Q6" s="51"/>
      <c r="R6" s="51"/>
      <c r="S6" s="51"/>
      <c r="T6" s="51"/>
      <c r="U6" s="51"/>
      <c r="AF6" s="2"/>
      <c r="AG6" s="2"/>
      <c r="AH6" s="2"/>
      <c r="AI6" s="2"/>
      <c r="AJ6" s="2"/>
    </row>
    <row r="7" spans="1:36" s="1" customFormat="1" ht="13.9" customHeight="1" x14ac:dyDescent="0.25">
      <c r="A7" s="58"/>
      <c r="B7" s="50" t="s">
        <v>45</v>
      </c>
      <c r="C7" s="50"/>
      <c r="D7" s="50"/>
      <c r="E7" s="58"/>
      <c r="F7" s="13"/>
      <c r="G7" s="14"/>
      <c r="H7" s="15"/>
      <c r="I7" s="15"/>
      <c r="J7" s="15"/>
      <c r="K7" s="13"/>
      <c r="L7" s="14"/>
      <c r="M7" s="15"/>
      <c r="N7" s="15"/>
      <c r="O7" s="15"/>
      <c r="P7" s="13"/>
      <c r="Q7" s="14"/>
      <c r="R7" s="16"/>
      <c r="S7" s="16"/>
      <c r="T7" s="16"/>
      <c r="U7" s="13"/>
      <c r="AF7" s="2"/>
      <c r="AG7" s="2"/>
      <c r="AH7" s="2"/>
      <c r="AI7" s="2"/>
      <c r="AJ7" s="2"/>
    </row>
    <row r="8" spans="1:36" s="1" customFormat="1" ht="13.9" customHeight="1" x14ac:dyDescent="0.25">
      <c r="A8" s="58"/>
      <c r="B8" s="50" t="s">
        <v>72</v>
      </c>
      <c r="C8" s="50"/>
      <c r="D8" s="50"/>
      <c r="E8" s="58"/>
      <c r="F8" s="13"/>
      <c r="G8" s="15" t="str">
        <f ca="1">_xll.TimeSalesIDC(H8, H9:N9, NOW() - TIME(,2,), TODAY(),,,,,,"TypeFilter=Trades")</f>
        <v>Time And Sales</v>
      </c>
      <c r="H8" s="78" t="s">
        <v>77</v>
      </c>
      <c r="I8" s="78"/>
      <c r="J8" s="78"/>
      <c r="K8" s="78"/>
      <c r="L8" s="78"/>
      <c r="M8" s="78"/>
      <c r="N8" s="78"/>
      <c r="O8" s="15"/>
      <c r="P8" s="15"/>
      <c r="Q8" s="15"/>
      <c r="R8" s="15"/>
      <c r="S8" s="15"/>
      <c r="T8" s="15"/>
      <c r="U8" s="15"/>
      <c r="AF8" s="2"/>
      <c r="AG8" s="2"/>
      <c r="AH8" s="2"/>
      <c r="AI8" s="2"/>
      <c r="AJ8" s="2"/>
    </row>
    <row r="9" spans="1:36" s="1" customFormat="1" ht="15" x14ac:dyDescent="0.25">
      <c r="A9" s="58"/>
      <c r="B9" s="50"/>
      <c r="C9" s="50"/>
      <c r="D9" s="50"/>
      <c r="E9" s="58"/>
      <c r="F9" s="13"/>
      <c r="G9" s="21"/>
      <c r="H9" s="21" t="s">
        <v>2</v>
      </c>
      <c r="I9" s="21" t="s">
        <v>46</v>
      </c>
      <c r="J9" s="21" t="s">
        <v>3</v>
      </c>
      <c r="K9" s="21" t="s">
        <v>47</v>
      </c>
      <c r="L9" s="21" t="s">
        <v>48</v>
      </c>
      <c r="M9" s="21" t="s">
        <v>49</v>
      </c>
      <c r="N9" s="21" t="s">
        <v>51</v>
      </c>
      <c r="O9" s="15"/>
      <c r="P9" s="15"/>
      <c r="Q9" s="15"/>
      <c r="R9" s="15"/>
      <c r="S9" s="15"/>
      <c r="T9" s="15"/>
      <c r="U9" s="15"/>
      <c r="AF9" s="2"/>
      <c r="AG9" s="2"/>
      <c r="AH9" s="2"/>
      <c r="AI9" s="2"/>
      <c r="AJ9" s="2"/>
    </row>
    <row r="10" spans="1:36" s="1" customFormat="1" ht="15" customHeight="1" x14ac:dyDescent="0.2">
      <c r="A10" s="58"/>
      <c r="B10" s="50"/>
      <c r="C10" s="50"/>
      <c r="D10" s="50"/>
      <c r="E10" s="58"/>
      <c r="F10" s="13"/>
      <c r="G10" s="34">
        <f>DATE(2022,1,27)+TIME(15,38,28)</f>
        <v>44588.651712962965</v>
      </c>
      <c r="H10" s="23"/>
      <c r="I10" s="23"/>
      <c r="J10" s="23"/>
      <c r="K10" s="23">
        <v>132.49</v>
      </c>
      <c r="L10" s="23">
        <v>183</v>
      </c>
      <c r="M10" s="23" t="s">
        <v>50</v>
      </c>
      <c r="N10" s="79">
        <v>44588.651712963001</v>
      </c>
      <c r="O10" s="23"/>
      <c r="P10" s="34"/>
      <c r="Q10" s="23"/>
      <c r="R10" s="23"/>
      <c r="S10" s="23"/>
      <c r="T10" s="23"/>
      <c r="U10" s="34"/>
      <c r="AF10" s="2"/>
      <c r="AG10" s="2"/>
      <c r="AH10" s="2"/>
      <c r="AI10" s="2"/>
      <c r="AJ10" s="2"/>
    </row>
    <row r="11" spans="1:36" s="1" customFormat="1" x14ac:dyDescent="0.2">
      <c r="A11" s="58"/>
      <c r="B11" s="50"/>
      <c r="C11" s="50"/>
      <c r="D11" s="50"/>
      <c r="E11" s="58"/>
      <c r="F11" s="13"/>
      <c r="G11" s="35">
        <f>DATE(2022,1,27)+TIME(15,38,28)</f>
        <v>44588.651712962965</v>
      </c>
      <c r="H11" s="30"/>
      <c r="I11" s="30"/>
      <c r="J11" s="30"/>
      <c r="K11" s="23">
        <v>132.47999999999999</v>
      </c>
      <c r="L11" s="30">
        <v>100</v>
      </c>
      <c r="M11" s="30" t="s">
        <v>50</v>
      </c>
      <c r="N11" s="80">
        <v>44588.651712963001</v>
      </c>
      <c r="O11" s="30"/>
      <c r="P11" s="34"/>
      <c r="Q11" s="30"/>
      <c r="R11" s="30"/>
      <c r="S11" s="30"/>
      <c r="T11" s="30"/>
      <c r="U11" s="34"/>
      <c r="AF11" s="2"/>
      <c r="AG11" s="2"/>
      <c r="AH11" s="2"/>
      <c r="AI11" s="2"/>
      <c r="AJ11" s="2"/>
    </row>
    <row r="12" spans="1:36" s="1" customFormat="1" ht="13.9" customHeight="1" x14ac:dyDescent="0.2">
      <c r="A12" s="58"/>
      <c r="B12" s="50" t="s">
        <v>73</v>
      </c>
      <c r="C12" s="50"/>
      <c r="D12" s="50"/>
      <c r="E12" s="58"/>
      <c r="F12" s="13"/>
      <c r="G12" s="34">
        <f>DATE(2022,1,27)+TIME(15,38,20)</f>
        <v>44588.651620370372</v>
      </c>
      <c r="H12" s="23"/>
      <c r="I12" s="23"/>
      <c r="J12" s="23"/>
      <c r="K12" s="23">
        <v>132.49</v>
      </c>
      <c r="L12" s="23">
        <v>9</v>
      </c>
      <c r="M12" s="23" t="s">
        <v>50</v>
      </c>
      <c r="N12" s="79">
        <v>44588.651620370401</v>
      </c>
      <c r="O12" s="23"/>
      <c r="P12" s="34"/>
      <c r="Q12" s="23"/>
      <c r="R12" s="36"/>
      <c r="S12" s="36"/>
      <c r="T12" s="36"/>
      <c r="U12" s="34"/>
      <c r="AF12" s="2"/>
      <c r="AG12" s="2"/>
      <c r="AH12" s="2"/>
      <c r="AI12" s="2"/>
      <c r="AJ12" s="2"/>
    </row>
    <row r="13" spans="1:36" s="1" customFormat="1" x14ac:dyDescent="0.2">
      <c r="A13" s="58"/>
      <c r="B13" s="50"/>
      <c r="C13" s="50"/>
      <c r="D13" s="50"/>
      <c r="E13" s="58"/>
      <c r="F13" s="13"/>
      <c r="G13" s="34">
        <f>DATE(2022,1,27)+TIME(15,38,20)</f>
        <v>44588.651620370372</v>
      </c>
      <c r="H13" s="23"/>
      <c r="I13" s="23"/>
      <c r="J13" s="23"/>
      <c r="K13" s="23">
        <v>132.49</v>
      </c>
      <c r="L13" s="23">
        <v>2</v>
      </c>
      <c r="M13" s="23" t="s">
        <v>50</v>
      </c>
      <c r="N13" s="79">
        <v>44588.651620370401</v>
      </c>
      <c r="O13" s="23"/>
      <c r="P13" s="34"/>
      <c r="Q13" s="23"/>
      <c r="R13" s="23"/>
      <c r="S13" s="23"/>
      <c r="T13" s="23"/>
      <c r="U13" s="34"/>
      <c r="AF13" s="2"/>
      <c r="AG13" s="2"/>
      <c r="AH13" s="2"/>
      <c r="AI13" s="2"/>
      <c r="AJ13" s="2"/>
    </row>
    <row r="14" spans="1:36" s="1" customFormat="1" x14ac:dyDescent="0.2">
      <c r="A14" s="58"/>
      <c r="B14" s="50"/>
      <c r="C14" s="50"/>
      <c r="D14" s="50"/>
      <c r="E14" s="58"/>
      <c r="F14" s="13"/>
      <c r="G14" s="34">
        <f>DATE(2022,1,27)+TIME(15,38,6)</f>
        <v>44588.651458333334</v>
      </c>
      <c r="H14" s="23"/>
      <c r="I14" s="23"/>
      <c r="J14" s="23"/>
      <c r="K14" s="23">
        <v>132.69499999999999</v>
      </c>
      <c r="L14" s="23">
        <v>1</v>
      </c>
      <c r="M14" s="23" t="s">
        <v>50</v>
      </c>
      <c r="N14" s="79">
        <v>44588.651458333297</v>
      </c>
      <c r="O14" s="23"/>
      <c r="P14" s="34"/>
      <c r="Q14" s="23"/>
      <c r="R14" s="23"/>
      <c r="S14" s="23"/>
      <c r="T14" s="23"/>
      <c r="U14" s="34"/>
      <c r="AF14" s="2"/>
      <c r="AG14" s="2"/>
      <c r="AH14" s="2"/>
      <c r="AI14" s="2"/>
      <c r="AJ14" s="2"/>
    </row>
    <row r="15" spans="1:36" s="1" customFormat="1" ht="15" customHeight="1" x14ac:dyDescent="0.2">
      <c r="A15" s="58"/>
      <c r="B15" s="50"/>
      <c r="C15" s="50"/>
      <c r="D15" s="50"/>
      <c r="E15" s="58"/>
      <c r="F15" s="13"/>
      <c r="G15" s="34">
        <f>DATE(2022,1,27)+TIME(15,37,37)</f>
        <v>44588.651122685187</v>
      </c>
      <c r="H15" s="23"/>
      <c r="I15" s="23"/>
      <c r="J15" s="23"/>
      <c r="K15" s="23">
        <v>132.02000000000001</v>
      </c>
      <c r="L15" s="23">
        <v>1</v>
      </c>
      <c r="M15" s="23" t="s">
        <v>50</v>
      </c>
      <c r="N15" s="79">
        <v>44588.651122685202</v>
      </c>
      <c r="O15" s="23"/>
      <c r="P15" s="34"/>
      <c r="Q15" s="23"/>
      <c r="R15" s="23"/>
      <c r="S15" s="23"/>
      <c r="T15" s="23"/>
      <c r="U15" s="34"/>
      <c r="AF15" s="2"/>
      <c r="AG15" s="2"/>
      <c r="AH15" s="2"/>
      <c r="AI15" s="2"/>
      <c r="AJ15" s="2"/>
    </row>
    <row r="16" spans="1:36" s="1" customFormat="1" x14ac:dyDescent="0.2">
      <c r="A16" s="58"/>
      <c r="B16" s="50"/>
      <c r="C16" s="50"/>
      <c r="D16" s="50"/>
      <c r="E16" s="58"/>
      <c r="F16" s="13"/>
      <c r="G16" s="35">
        <f>DATE(2022,1,27)+TIME(15,36,33)</f>
        <v>44588.650381944448</v>
      </c>
      <c r="H16" s="30"/>
      <c r="I16" s="30"/>
      <c r="J16" s="30"/>
      <c r="K16" s="23">
        <v>132.49</v>
      </c>
      <c r="L16" s="30">
        <v>100</v>
      </c>
      <c r="M16" s="30" t="s">
        <v>50</v>
      </c>
      <c r="N16" s="80">
        <v>44588.650381944397</v>
      </c>
      <c r="O16" s="30"/>
      <c r="P16" s="23"/>
      <c r="Q16" s="30"/>
      <c r="R16" s="30"/>
      <c r="S16" s="30"/>
      <c r="T16" s="30"/>
      <c r="U16" s="23"/>
      <c r="AF16" s="2"/>
      <c r="AG16" s="2"/>
      <c r="AH16" s="2"/>
      <c r="AI16" s="2"/>
      <c r="AJ16" s="2"/>
    </row>
    <row r="17" spans="1:36" s="1" customFormat="1" x14ac:dyDescent="0.2">
      <c r="A17" s="58"/>
      <c r="B17" s="50"/>
      <c r="C17" s="50"/>
      <c r="D17" s="50"/>
      <c r="E17" s="58"/>
      <c r="F17" s="13"/>
      <c r="G17" s="34">
        <f>DATE(2022,1,27)+TIME(15,36,33)</f>
        <v>44588.650381944448</v>
      </c>
      <c r="H17" s="23"/>
      <c r="I17" s="23"/>
      <c r="J17" s="23"/>
      <c r="K17" s="23">
        <v>132.03</v>
      </c>
      <c r="L17" s="23">
        <v>73</v>
      </c>
      <c r="M17" s="23" t="s">
        <v>50</v>
      </c>
      <c r="N17" s="79">
        <v>44588.650381944397</v>
      </c>
      <c r="O17" s="23"/>
      <c r="P17" s="23"/>
      <c r="Q17" s="23"/>
      <c r="R17" s="37"/>
      <c r="S17" s="37"/>
      <c r="T17" s="37"/>
      <c r="U17" s="23"/>
      <c r="AF17" s="2"/>
      <c r="AG17" s="2"/>
      <c r="AH17" s="2"/>
      <c r="AI17" s="2"/>
      <c r="AJ17" s="2"/>
    </row>
    <row r="18" spans="1:36" s="1" customFormat="1" x14ac:dyDescent="0.2">
      <c r="A18" s="58"/>
      <c r="B18" s="58"/>
      <c r="C18" s="58"/>
      <c r="D18" s="58"/>
      <c r="E18" s="58"/>
      <c r="F18" s="13"/>
      <c r="G18" s="34">
        <f>DATE(2022,1,27)+TIME(15,36,33)</f>
        <v>44588.650381944448</v>
      </c>
      <c r="H18" s="23"/>
      <c r="I18" s="23"/>
      <c r="J18" s="23"/>
      <c r="K18" s="23">
        <v>132.1</v>
      </c>
      <c r="L18" s="23">
        <v>1</v>
      </c>
      <c r="M18" s="23" t="s">
        <v>50</v>
      </c>
      <c r="N18" s="79">
        <v>44588.650381944397</v>
      </c>
      <c r="O18" s="23"/>
      <c r="P18" s="23"/>
      <c r="Q18" s="23"/>
      <c r="R18" s="38"/>
      <c r="S18" s="38"/>
      <c r="T18" s="38"/>
      <c r="U18" s="23"/>
      <c r="AF18" s="2"/>
      <c r="AG18" s="2"/>
      <c r="AH18" s="2"/>
      <c r="AI18" s="2"/>
      <c r="AJ18" s="2"/>
    </row>
    <row r="19" spans="1:36" s="1" customFormat="1" x14ac:dyDescent="0.2">
      <c r="A19" s="58"/>
      <c r="B19" s="58"/>
      <c r="C19" s="58"/>
      <c r="D19" s="58"/>
      <c r="E19" s="58"/>
      <c r="F19" s="13"/>
      <c r="G19" s="34">
        <f>DATE(2022,1,27)+TIME(15,36,33)</f>
        <v>44588.650381944448</v>
      </c>
      <c r="H19" s="23"/>
      <c r="I19" s="23"/>
      <c r="J19" s="23"/>
      <c r="K19" s="23">
        <v>132.1</v>
      </c>
      <c r="L19" s="23">
        <v>1</v>
      </c>
      <c r="M19" s="23" t="s">
        <v>50</v>
      </c>
      <c r="N19" s="79">
        <v>44588.650381944397</v>
      </c>
      <c r="O19" s="23"/>
      <c r="P19" s="23"/>
      <c r="Q19" s="23"/>
      <c r="R19" s="38"/>
      <c r="S19" s="38"/>
      <c r="T19" s="38"/>
      <c r="U19" s="23"/>
      <c r="AF19" s="2"/>
      <c r="AG19" s="2"/>
      <c r="AH19" s="2"/>
      <c r="AI19" s="2"/>
      <c r="AJ19" s="2"/>
    </row>
    <row r="20" spans="1:36" s="1" customFormat="1" ht="15" customHeight="1" x14ac:dyDescent="0.2">
      <c r="A20" s="58"/>
      <c r="B20" s="58"/>
      <c r="C20" s="58"/>
      <c r="D20" s="58"/>
      <c r="E20" s="58"/>
      <c r="F20" s="13"/>
      <c r="G20" s="34">
        <f>DATE(2022,1,27)+TIME(15,36,33)</f>
        <v>44588.650381944448</v>
      </c>
      <c r="H20" s="23"/>
      <c r="I20" s="23"/>
      <c r="J20" s="23"/>
      <c r="K20" s="23">
        <v>132.12</v>
      </c>
      <c r="L20" s="23">
        <v>100</v>
      </c>
      <c r="M20" s="23" t="s">
        <v>50</v>
      </c>
      <c r="N20" s="79">
        <v>44588.650381944397</v>
      </c>
      <c r="O20" s="23"/>
      <c r="P20" s="23"/>
      <c r="Q20" s="23"/>
      <c r="R20" s="23"/>
      <c r="S20" s="23"/>
      <c r="T20" s="23"/>
      <c r="U20" s="23"/>
      <c r="AF20" s="2"/>
      <c r="AG20" s="2"/>
      <c r="AH20" s="2"/>
      <c r="AI20" s="2"/>
      <c r="AJ20" s="2"/>
    </row>
    <row r="21" spans="1:36" s="1" customFormat="1" x14ac:dyDescent="0.2">
      <c r="A21" s="58"/>
      <c r="B21" s="58"/>
      <c r="C21" s="58"/>
      <c r="D21" s="58"/>
      <c r="E21" s="58"/>
      <c r="F21" s="13"/>
      <c r="G21" s="35">
        <f>DATE(2022,1,27)+TIME(15,36,33)</f>
        <v>44588.650381944448</v>
      </c>
      <c r="H21" s="30"/>
      <c r="I21" s="30"/>
      <c r="J21" s="30"/>
      <c r="K21" s="23">
        <v>132.12</v>
      </c>
      <c r="L21" s="30">
        <v>100</v>
      </c>
      <c r="M21" s="30" t="s">
        <v>50</v>
      </c>
      <c r="N21" s="80">
        <v>44588.650381944397</v>
      </c>
      <c r="O21" s="30"/>
      <c r="P21" s="23"/>
      <c r="Q21" s="30"/>
      <c r="R21" s="30"/>
      <c r="S21" s="30"/>
      <c r="T21" s="30"/>
      <c r="U21" s="23"/>
      <c r="AF21" s="2"/>
      <c r="AG21" s="2"/>
      <c r="AH21" s="2"/>
      <c r="AI21" s="2"/>
      <c r="AJ21" s="2"/>
    </row>
    <row r="22" spans="1:36" s="1" customFormat="1" x14ac:dyDescent="0.2">
      <c r="A22" s="58"/>
      <c r="B22" s="58"/>
      <c r="C22" s="58"/>
      <c r="D22" s="58"/>
      <c r="E22" s="58"/>
      <c r="F22" s="13"/>
      <c r="G22" s="34">
        <f>DATE(2022,1,27)+TIME(15,36,33)</f>
        <v>44588.650381944448</v>
      </c>
      <c r="H22" s="23"/>
      <c r="I22" s="23"/>
      <c r="J22" s="23"/>
      <c r="K22" s="23">
        <v>132.13999999999999</v>
      </c>
      <c r="L22" s="23">
        <v>1</v>
      </c>
      <c r="M22" s="23" t="s">
        <v>50</v>
      </c>
      <c r="N22" s="79">
        <v>44588.650381944397</v>
      </c>
      <c r="O22" s="23"/>
      <c r="P22" s="23"/>
      <c r="Q22" s="23"/>
      <c r="R22" s="37"/>
      <c r="S22" s="37"/>
      <c r="T22" s="37"/>
      <c r="U22" s="23"/>
      <c r="AF22" s="2"/>
      <c r="AG22" s="2"/>
      <c r="AH22" s="2"/>
      <c r="AI22" s="2"/>
      <c r="AJ22" s="2"/>
    </row>
    <row r="23" spans="1:36" s="1" customFormat="1" x14ac:dyDescent="0.2">
      <c r="A23" s="58"/>
      <c r="B23" s="58"/>
      <c r="C23" s="58"/>
      <c r="D23" s="58"/>
      <c r="E23" s="58"/>
      <c r="F23" s="13"/>
      <c r="G23" s="34">
        <f>DATE(2022,1,27)+TIME(15,36,33)</f>
        <v>44588.650381944448</v>
      </c>
      <c r="H23" s="23"/>
      <c r="I23" s="23"/>
      <c r="J23" s="23"/>
      <c r="K23" s="23">
        <v>132.13999999999999</v>
      </c>
      <c r="L23" s="23">
        <v>14</v>
      </c>
      <c r="M23" s="23" t="s">
        <v>50</v>
      </c>
      <c r="N23" s="79">
        <v>44588.650381944397</v>
      </c>
      <c r="O23" s="23"/>
      <c r="P23" s="23"/>
      <c r="Q23" s="23"/>
      <c r="R23" s="38"/>
      <c r="S23" s="38"/>
      <c r="T23" s="38"/>
      <c r="U23" s="23"/>
      <c r="AF23" s="2"/>
      <c r="AG23" s="2"/>
      <c r="AH23" s="2"/>
      <c r="AI23" s="2"/>
      <c r="AJ23" s="2"/>
    </row>
    <row r="24" spans="1:36" s="1" customFormat="1" x14ac:dyDescent="0.2">
      <c r="A24" s="58"/>
      <c r="B24" s="58"/>
      <c r="C24" s="58"/>
      <c r="D24" s="58"/>
      <c r="E24" s="58"/>
      <c r="F24" s="13"/>
      <c r="G24" s="34">
        <f>DATE(2022,1,27)+TIME(15,36,33)</f>
        <v>44588.650381944448</v>
      </c>
      <c r="H24" s="23"/>
      <c r="I24" s="23"/>
      <c r="J24" s="23"/>
      <c r="K24" s="23">
        <v>132.19999999999999</v>
      </c>
      <c r="L24" s="23">
        <v>5</v>
      </c>
      <c r="M24" s="23" t="s">
        <v>50</v>
      </c>
      <c r="N24" s="79">
        <v>44588.650381944397</v>
      </c>
      <c r="O24" s="23"/>
      <c r="P24" s="23"/>
      <c r="Q24" s="23"/>
      <c r="R24" s="38"/>
      <c r="S24" s="38"/>
      <c r="T24" s="38"/>
      <c r="U24" s="23"/>
      <c r="AF24" s="2"/>
      <c r="AG24" s="2"/>
      <c r="AH24" s="2"/>
      <c r="AI24" s="2"/>
      <c r="AJ24" s="2"/>
    </row>
    <row r="25" spans="1:36" s="1" customFormat="1" x14ac:dyDescent="0.2">
      <c r="A25" s="58"/>
      <c r="B25" s="58"/>
      <c r="C25" s="58"/>
      <c r="D25" s="58"/>
      <c r="E25" s="58"/>
      <c r="F25" s="13"/>
      <c r="G25" s="34">
        <f>DATE(2022,1,27)+TIME(15,36,33)</f>
        <v>44588.650381944448</v>
      </c>
      <c r="H25" s="23"/>
      <c r="I25" s="23"/>
      <c r="J25" s="23"/>
      <c r="K25" s="23">
        <v>132.4</v>
      </c>
      <c r="L25" s="23">
        <v>5</v>
      </c>
      <c r="M25" s="23" t="s">
        <v>50</v>
      </c>
      <c r="N25" s="79">
        <v>44588.650381944397</v>
      </c>
      <c r="O25" s="23"/>
      <c r="P25" s="23"/>
      <c r="Q25" s="23"/>
      <c r="R25" s="23"/>
      <c r="S25" s="23"/>
      <c r="T25" s="23"/>
      <c r="U25" s="23"/>
      <c r="AF25" s="2"/>
      <c r="AG25" s="2"/>
      <c r="AH25" s="2"/>
      <c r="AI25" s="2"/>
      <c r="AJ25" s="2"/>
    </row>
    <row r="26" spans="1:36" x14ac:dyDescent="0.2">
      <c r="G26" s="42"/>
      <c r="H26" s="39"/>
      <c r="I26" s="39"/>
      <c r="J26" s="39"/>
      <c r="K26" s="39"/>
      <c r="L26" s="39"/>
      <c r="M26" s="39"/>
      <c r="N26" s="42"/>
      <c r="O26" s="39"/>
      <c r="P26" s="39"/>
      <c r="Q26" s="39"/>
      <c r="R26" s="39"/>
      <c r="S26" s="39"/>
      <c r="T26" s="39"/>
      <c r="U26" s="39"/>
    </row>
    <row r="27" spans="1:36" x14ac:dyDescent="0.2">
      <c r="G27" s="43"/>
      <c r="N27" s="43"/>
    </row>
    <row r="28" spans="1:36" x14ac:dyDescent="0.2">
      <c r="G28" s="43"/>
      <c r="N28" s="43"/>
    </row>
    <row r="29" spans="1:36" x14ac:dyDescent="0.2">
      <c r="G29" s="43"/>
      <c r="N29" s="43"/>
    </row>
    <row r="30" spans="1:36" x14ac:dyDescent="0.2">
      <c r="G30" s="43"/>
      <c r="N30" s="43"/>
    </row>
    <row r="31" spans="1:36" x14ac:dyDescent="0.2">
      <c r="G31" s="43"/>
      <c r="N31" s="43"/>
    </row>
    <row r="32" spans="1:36" s="1" customFormat="1" ht="15" customHeight="1" x14ac:dyDescent="0.2">
      <c r="A32" s="58"/>
      <c r="B32" s="58"/>
      <c r="C32" s="58"/>
      <c r="D32" s="58"/>
      <c r="E32" s="58"/>
      <c r="G32" s="43"/>
      <c r="N32" s="43"/>
      <c r="AF32" s="2"/>
      <c r="AG32" s="2"/>
      <c r="AH32" s="2"/>
      <c r="AI32" s="2"/>
      <c r="AJ32" s="2"/>
    </row>
    <row r="33" spans="1:36" x14ac:dyDescent="0.2">
      <c r="G33" s="43"/>
      <c r="N33" s="43"/>
    </row>
    <row r="34" spans="1:36" x14ac:dyDescent="0.2">
      <c r="G34" s="43"/>
      <c r="N34" s="43"/>
    </row>
    <row r="35" spans="1:36" s="1" customFormat="1" x14ac:dyDescent="0.2">
      <c r="A35" s="58"/>
      <c r="B35" s="58"/>
      <c r="C35" s="58"/>
      <c r="D35" s="58"/>
      <c r="E35" s="58"/>
      <c r="G35" s="43"/>
      <c r="N35" s="43"/>
      <c r="AF35" s="2"/>
      <c r="AG35" s="2"/>
      <c r="AH35" s="2"/>
      <c r="AI35" s="2"/>
      <c r="AJ35" s="2"/>
    </row>
    <row r="36" spans="1:36" x14ac:dyDescent="0.2">
      <c r="G36" s="43"/>
      <c r="N36" s="43"/>
    </row>
    <row r="37" spans="1:36" s="3" customFormat="1" ht="15" customHeight="1" x14ac:dyDescent="0.2">
      <c r="A37" s="58"/>
      <c r="B37" s="58"/>
      <c r="C37" s="58"/>
      <c r="D37" s="58"/>
      <c r="E37" s="58"/>
      <c r="F37" s="1"/>
      <c r="G37" s="43"/>
      <c r="H37" s="1"/>
      <c r="I37" s="1"/>
      <c r="J37" s="1"/>
      <c r="K37" s="1"/>
      <c r="L37" s="1"/>
      <c r="M37" s="1"/>
      <c r="N37" s="43"/>
      <c r="O37" s="1"/>
      <c r="P37" s="1"/>
      <c r="Q37" s="1"/>
      <c r="R37" s="1"/>
      <c r="S37" s="1"/>
      <c r="T37" s="1"/>
      <c r="U37" s="1"/>
      <c r="V37" s="1"/>
      <c r="W37" s="1"/>
      <c r="X37" s="1"/>
      <c r="Y37" s="1"/>
      <c r="Z37" s="1"/>
      <c r="AA37" s="1"/>
      <c r="AB37" s="1"/>
      <c r="AC37" s="1"/>
      <c r="AD37" s="1"/>
      <c r="AE37" s="1"/>
      <c r="AF37" s="2"/>
      <c r="AG37" s="2"/>
      <c r="AH37" s="2"/>
      <c r="AI37" s="2"/>
      <c r="AJ37" s="2"/>
    </row>
    <row r="38" spans="1:36" x14ac:dyDescent="0.2">
      <c r="G38" s="43"/>
      <c r="N38" s="43"/>
    </row>
    <row r="39" spans="1:36" x14ac:dyDescent="0.2">
      <c r="G39" s="43"/>
      <c r="N39" s="43"/>
    </row>
    <row r="40" spans="1:36" x14ac:dyDescent="0.2">
      <c r="G40" s="43"/>
      <c r="N40" s="43"/>
    </row>
    <row r="41" spans="1:36" x14ac:dyDescent="0.2">
      <c r="G41" s="43"/>
      <c r="N41" s="43"/>
    </row>
    <row r="42" spans="1:36" x14ac:dyDescent="0.2">
      <c r="G42" s="43"/>
      <c r="N42" s="43"/>
    </row>
    <row r="43" spans="1:36" x14ac:dyDescent="0.2">
      <c r="G43" s="43"/>
      <c r="N43" s="43"/>
    </row>
    <row r="44" spans="1:36" x14ac:dyDescent="0.2">
      <c r="G44" s="43"/>
      <c r="N44" s="43"/>
    </row>
    <row r="45" spans="1:36" x14ac:dyDescent="0.2">
      <c r="G45" s="43"/>
      <c r="N45" s="43"/>
    </row>
    <row r="46" spans="1:36" x14ac:dyDescent="0.2">
      <c r="G46" s="43"/>
      <c r="N46" s="43"/>
    </row>
    <row r="47" spans="1:36" x14ac:dyDescent="0.2">
      <c r="G47" s="43"/>
      <c r="N47" s="43"/>
    </row>
    <row r="48" spans="1:36" x14ac:dyDescent="0.2">
      <c r="G48" s="43"/>
      <c r="N48" s="43"/>
    </row>
    <row r="49" spans="7:14" x14ac:dyDescent="0.2">
      <c r="G49" s="43"/>
      <c r="N49" s="43"/>
    </row>
    <row r="50" spans="7:14" x14ac:dyDescent="0.2">
      <c r="G50" s="43"/>
      <c r="N50" s="43"/>
    </row>
    <row r="51" spans="7:14" x14ac:dyDescent="0.2">
      <c r="G51" s="43"/>
      <c r="N51" s="43"/>
    </row>
    <row r="52" spans="7:14" x14ac:dyDescent="0.2">
      <c r="G52" s="43"/>
      <c r="N52" s="43"/>
    </row>
    <row r="53" spans="7:14" x14ac:dyDescent="0.2">
      <c r="G53" s="43"/>
      <c r="N53" s="43"/>
    </row>
    <row r="54" spans="7:14" x14ac:dyDescent="0.2">
      <c r="G54" s="43"/>
      <c r="N54" s="43"/>
    </row>
    <row r="55" spans="7:14" x14ac:dyDescent="0.2">
      <c r="G55" s="43"/>
      <c r="N55" s="43"/>
    </row>
    <row r="56" spans="7:14" x14ac:dyDescent="0.2">
      <c r="G56" s="43"/>
      <c r="N56" s="43"/>
    </row>
    <row r="57" spans="7:14" x14ac:dyDescent="0.2">
      <c r="G57" s="43"/>
      <c r="N57" s="43"/>
    </row>
    <row r="58" spans="7:14" x14ac:dyDescent="0.2">
      <c r="G58" s="43"/>
      <c r="N58" s="43"/>
    </row>
    <row r="59" spans="7:14" x14ac:dyDescent="0.2">
      <c r="G59" s="43"/>
      <c r="N59" s="43"/>
    </row>
    <row r="60" spans="7:14" x14ac:dyDescent="0.2">
      <c r="G60" s="43"/>
      <c r="N60" s="43"/>
    </row>
    <row r="61" spans="7:14" x14ac:dyDescent="0.2">
      <c r="G61" s="43"/>
      <c r="N61" s="43"/>
    </row>
    <row r="62" spans="7:14" x14ac:dyDescent="0.2">
      <c r="G62" s="43"/>
      <c r="N62" s="43"/>
    </row>
    <row r="63" spans="7:14" x14ac:dyDescent="0.2">
      <c r="G63" s="43"/>
      <c r="N63" s="43"/>
    </row>
    <row r="64" spans="7:14" x14ac:dyDescent="0.2">
      <c r="G64" s="43"/>
      <c r="N64" s="43"/>
    </row>
    <row r="65" spans="7:14" x14ac:dyDescent="0.2">
      <c r="G65" s="43"/>
      <c r="N65" s="43"/>
    </row>
    <row r="66" spans="7:14" x14ac:dyDescent="0.2">
      <c r="G66" s="43"/>
      <c r="N66" s="43"/>
    </row>
    <row r="67" spans="7:14" x14ac:dyDescent="0.2">
      <c r="G67" s="43"/>
      <c r="N67" s="43"/>
    </row>
    <row r="68" spans="7:14" x14ac:dyDescent="0.2">
      <c r="G68" s="43"/>
      <c r="N68" s="43"/>
    </row>
  </sheetData>
  <mergeCells count="8">
    <mergeCell ref="B8:D11"/>
    <mergeCell ref="B12:D17"/>
    <mergeCell ref="H8:N8"/>
    <mergeCell ref="H3:K3"/>
    <mergeCell ref="G6:N6"/>
    <mergeCell ref="P6:U6"/>
    <mergeCell ref="B5:D5"/>
    <mergeCell ref="B7:D7"/>
  </mergeCells>
  <pageMargins left="0.7" right="0.7" top="0.75" bottom="0.75" header="0.3" footer="0.3"/>
  <pageSetup orientation="landscape"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9997558519241921"/>
  </sheetPr>
  <dimension ref="A2:AK40"/>
  <sheetViews>
    <sheetView workbookViewId="0">
      <selection activeCell="H3" sqref="H3"/>
    </sheetView>
  </sheetViews>
  <sheetFormatPr defaultColWidth="7.5546875" defaultRowHeight="14.25" x14ac:dyDescent="0.2"/>
  <cols>
    <col min="1" max="1" width="1.33203125" style="58" customWidth="1"/>
    <col min="2" max="2" width="7.5546875" style="58"/>
    <col min="3" max="3" width="8.33203125" style="58" bestFit="1" customWidth="1"/>
    <col min="4" max="4" width="7.5546875" style="58"/>
    <col min="5" max="5" width="1.33203125" style="58" customWidth="1"/>
    <col min="6" max="6" width="7.5546875" style="1"/>
    <col min="7" max="7" width="15.5546875" style="1" bestFit="1" customWidth="1"/>
    <col min="8" max="8" width="18.21875" style="1" bestFit="1" customWidth="1"/>
    <col min="9" max="10" width="7.5546875" style="1" customWidth="1"/>
    <col min="11" max="11" width="10.109375" style="1" bestFit="1" customWidth="1"/>
    <col min="12" max="12" width="10.21875" style="1" customWidth="1"/>
    <col min="13" max="13" width="9.5546875" style="1" bestFit="1" customWidth="1"/>
    <col min="14" max="14" width="8.77734375" style="1" customWidth="1"/>
    <col min="15" max="15" width="14.88671875" style="1" bestFit="1" customWidth="1"/>
    <col min="16" max="16" width="15.33203125" style="1" customWidth="1"/>
    <col min="17" max="17" width="7.5546875" style="1" customWidth="1"/>
    <col min="18" max="18" width="9.5546875" style="1" bestFit="1" customWidth="1"/>
    <col min="19" max="19" width="9.88671875" style="1" customWidth="1"/>
    <col min="20" max="20" width="18.21875" style="1" bestFit="1" customWidth="1"/>
    <col min="21" max="21" width="10.88671875" style="1" customWidth="1"/>
    <col min="22" max="23" width="7.5546875" style="1" customWidth="1"/>
    <col min="24" max="24" width="7.5546875" style="1"/>
    <col min="25" max="25" width="8.77734375" style="1" customWidth="1"/>
    <col min="26" max="32" width="7.5546875" style="1"/>
    <col min="33" max="16384" width="7.5546875" style="2"/>
  </cols>
  <sheetData>
    <row r="2" spans="1:37" ht="20.25" x14ac:dyDescent="0.3">
      <c r="M2" s="52" t="s">
        <v>58</v>
      </c>
      <c r="N2" s="52"/>
      <c r="O2" s="52"/>
      <c r="P2" s="52"/>
      <c r="AF2" s="2"/>
    </row>
    <row r="4" spans="1:37" ht="6.75" customHeight="1" x14ac:dyDescent="0.2"/>
    <row r="5" spans="1:37" ht="15" x14ac:dyDescent="0.25">
      <c r="B5" s="59"/>
      <c r="C5" s="59"/>
      <c r="D5" s="59"/>
      <c r="F5" s="13"/>
      <c r="G5" s="13"/>
      <c r="H5" s="13"/>
      <c r="I5" s="13"/>
      <c r="J5" s="13"/>
      <c r="K5" s="13"/>
      <c r="L5" s="13"/>
      <c r="M5" s="13"/>
      <c r="N5" s="13"/>
      <c r="O5" s="13"/>
      <c r="P5" s="13"/>
      <c r="Q5" s="13"/>
      <c r="R5" s="13"/>
      <c r="S5" s="13"/>
      <c r="T5" s="13"/>
      <c r="U5" s="13"/>
      <c r="V5" s="13"/>
    </row>
    <row r="6" spans="1:37" s="1" customFormat="1" ht="15" x14ac:dyDescent="0.25">
      <c r="A6" s="58"/>
      <c r="B6" s="58"/>
      <c r="C6" s="58"/>
      <c r="D6" s="58"/>
      <c r="E6" s="58"/>
      <c r="F6" s="13"/>
      <c r="G6" s="13"/>
      <c r="H6" s="22"/>
      <c r="I6" s="22"/>
      <c r="J6" s="22"/>
      <c r="K6" s="22"/>
      <c r="L6" s="13"/>
      <c r="M6" s="22"/>
      <c r="N6" s="22"/>
      <c r="O6" s="22"/>
      <c r="P6" s="22"/>
      <c r="Q6" s="13"/>
      <c r="R6" s="22"/>
      <c r="S6" s="22"/>
      <c r="T6" s="22"/>
      <c r="U6" s="22"/>
      <c r="V6" s="13"/>
      <c r="AG6" s="2"/>
      <c r="AH6" s="2"/>
      <c r="AI6" s="2"/>
      <c r="AJ6" s="2"/>
      <c r="AK6" s="2"/>
    </row>
    <row r="7" spans="1:37" s="1" customFormat="1" ht="15" x14ac:dyDescent="0.25">
      <c r="A7" s="58"/>
      <c r="B7" s="50" t="s">
        <v>58</v>
      </c>
      <c r="C7" s="50"/>
      <c r="D7" s="50"/>
      <c r="E7" s="58"/>
      <c r="F7" s="13"/>
      <c r="G7" s="13"/>
      <c r="H7" s="14"/>
      <c r="I7" s="15"/>
      <c r="J7" s="15"/>
      <c r="K7" s="15"/>
      <c r="L7" s="13"/>
      <c r="M7" s="14"/>
      <c r="N7" s="15"/>
      <c r="O7" s="15"/>
      <c r="P7" s="15"/>
      <c r="Q7" s="13"/>
      <c r="R7" s="14"/>
      <c r="S7" s="16"/>
      <c r="T7" s="16"/>
      <c r="U7" s="16"/>
      <c r="V7" s="13"/>
      <c r="AG7" s="2"/>
      <c r="AH7" s="2"/>
      <c r="AI7" s="2"/>
      <c r="AJ7" s="2"/>
      <c r="AK7" s="2"/>
    </row>
    <row r="8" spans="1:37" s="1" customFormat="1" ht="13.9" customHeight="1" x14ac:dyDescent="0.25">
      <c r="A8" s="58"/>
      <c r="B8" s="50" t="s">
        <v>74</v>
      </c>
      <c r="C8" s="50"/>
      <c r="D8" s="50"/>
      <c r="E8" s="58"/>
      <c r="F8" s="13"/>
      <c r="G8" s="28" t="str">
        <f>_xll.OptionsIDC(H8,G9:J9,G13:M13,O13:U13,"NumberOfDisplayedOptions=10")</f>
        <v>Option Board</v>
      </c>
      <c r="H8" s="21" t="s">
        <v>53</v>
      </c>
      <c r="I8" s="13"/>
      <c r="J8" s="13"/>
      <c r="K8" s="13"/>
      <c r="L8" s="13"/>
      <c r="M8" s="15"/>
      <c r="N8" s="13"/>
      <c r="O8" s="13"/>
      <c r="P8" s="13"/>
      <c r="Q8" s="13"/>
      <c r="R8" s="15"/>
      <c r="S8" s="13"/>
      <c r="T8" s="13"/>
      <c r="U8" s="13"/>
      <c r="V8" s="13"/>
      <c r="AG8" s="2"/>
      <c r="AH8" s="2"/>
      <c r="AI8" s="2"/>
      <c r="AJ8" s="2"/>
      <c r="AK8" s="2"/>
    </row>
    <row r="9" spans="1:37" s="1" customFormat="1" ht="15" x14ac:dyDescent="0.25">
      <c r="A9" s="58"/>
      <c r="B9" s="50"/>
      <c r="C9" s="50"/>
      <c r="D9" s="50"/>
      <c r="E9" s="58"/>
      <c r="F9" s="13"/>
      <c r="G9" s="44" t="s">
        <v>54</v>
      </c>
      <c r="H9" s="44" t="s">
        <v>1</v>
      </c>
      <c r="I9" s="44" t="s">
        <v>27</v>
      </c>
      <c r="J9" s="15"/>
      <c r="K9" s="13"/>
      <c r="L9" s="13"/>
      <c r="M9" s="15"/>
      <c r="N9" s="13"/>
      <c r="O9" s="13"/>
      <c r="P9" s="13"/>
      <c r="Q9" s="13"/>
      <c r="R9" s="15"/>
      <c r="S9" s="13"/>
      <c r="T9" s="13"/>
      <c r="U9" s="13"/>
      <c r="V9" s="13"/>
      <c r="AG9" s="2"/>
      <c r="AH9" s="2"/>
      <c r="AI9" s="2"/>
      <c r="AJ9" s="2"/>
      <c r="AK9" s="2"/>
    </row>
    <row r="10" spans="1:37" s="1" customFormat="1" ht="15" customHeight="1" x14ac:dyDescent="0.25">
      <c r="A10" s="58"/>
      <c r="B10" s="50"/>
      <c r="C10" s="50"/>
      <c r="D10" s="50"/>
      <c r="E10" s="58"/>
      <c r="F10" s="13"/>
      <c r="G10" s="21" t="str">
        <f>RTD("fsxl",,"*OBSY",$H$8)</f>
        <v>BRN 22J-ICE</v>
      </c>
      <c r="H10" s="21">
        <f>RTD("fsxl",,$G$10,_xll.FSFldID(H$9))</f>
        <v>88.69</v>
      </c>
      <c r="I10" s="21">
        <f>RTD("fsxl",,$G$10,_xll.FSFldID(I$9))</f>
        <v>-0.05</v>
      </c>
      <c r="J10" s="25"/>
      <c r="K10" s="13"/>
      <c r="L10" s="13"/>
      <c r="M10" s="13"/>
      <c r="N10" s="13"/>
      <c r="O10" s="13"/>
      <c r="P10" s="13"/>
      <c r="Q10" s="13"/>
      <c r="R10" s="13"/>
      <c r="S10" s="13"/>
      <c r="T10" s="13"/>
      <c r="U10" s="13"/>
      <c r="V10" s="13"/>
      <c r="AG10" s="2"/>
      <c r="AH10" s="2"/>
      <c r="AI10" s="2"/>
      <c r="AJ10" s="2"/>
      <c r="AK10" s="2"/>
    </row>
    <row r="11" spans="1:37" s="1" customFormat="1" ht="15" customHeight="1" x14ac:dyDescent="0.25">
      <c r="A11" s="58"/>
      <c r="B11" s="50" t="s">
        <v>75</v>
      </c>
      <c r="C11" s="50"/>
      <c r="D11" s="50"/>
      <c r="E11" s="58"/>
      <c r="F11" s="13"/>
      <c r="G11" s="51" t="s">
        <v>55</v>
      </c>
      <c r="H11" s="51"/>
      <c r="I11" s="51"/>
      <c r="J11" s="51"/>
      <c r="K11" s="51"/>
      <c r="L11" s="51"/>
      <c r="M11" s="51"/>
      <c r="N11" s="13"/>
      <c r="O11" s="51" t="s">
        <v>56</v>
      </c>
      <c r="P11" s="51"/>
      <c r="Q11" s="51"/>
      <c r="R11" s="51"/>
      <c r="S11" s="51"/>
      <c r="T11" s="51"/>
      <c r="U11" s="51"/>
      <c r="V11" s="13"/>
      <c r="AG11" s="2"/>
      <c r="AH11" s="2"/>
      <c r="AI11" s="2"/>
      <c r="AJ11" s="2"/>
      <c r="AK11" s="2"/>
    </row>
    <row r="12" spans="1:37" s="1" customFormat="1" ht="13.9" customHeight="1" x14ac:dyDescent="0.25">
      <c r="A12" s="58"/>
      <c r="B12" s="50"/>
      <c r="C12" s="50"/>
      <c r="D12" s="50"/>
      <c r="E12" s="58"/>
      <c r="F12" s="13"/>
      <c r="G12" s="47" t="s">
        <v>54</v>
      </c>
      <c r="H12" s="47" t="s">
        <v>2</v>
      </c>
      <c r="I12" s="47" t="s">
        <v>3</v>
      </c>
      <c r="J12" s="47" t="s">
        <v>1</v>
      </c>
      <c r="K12" s="47" t="s">
        <v>51</v>
      </c>
      <c r="L12" s="47" t="s">
        <v>25</v>
      </c>
      <c r="M12" s="47" t="s">
        <v>26</v>
      </c>
      <c r="N12" s="85" t="s">
        <v>57</v>
      </c>
      <c r="O12" s="86" t="s">
        <v>54</v>
      </c>
      <c r="P12" s="47" t="s">
        <v>2</v>
      </c>
      <c r="Q12" s="47" t="s">
        <v>3</v>
      </c>
      <c r="R12" s="47" t="s">
        <v>1</v>
      </c>
      <c r="S12" s="47" t="s">
        <v>51</v>
      </c>
      <c r="T12" s="47" t="s">
        <v>25</v>
      </c>
      <c r="U12" s="47" t="s">
        <v>26</v>
      </c>
      <c r="V12" s="19"/>
      <c r="W12" s="19"/>
      <c r="AG12" s="2"/>
      <c r="AH12" s="2"/>
      <c r="AI12" s="2"/>
      <c r="AJ12" s="2"/>
      <c r="AK12" s="2"/>
    </row>
    <row r="13" spans="1:37" s="1" customFormat="1" ht="15" x14ac:dyDescent="0.25">
      <c r="A13" s="58"/>
      <c r="B13" s="50"/>
      <c r="C13" s="50"/>
      <c r="D13" s="50"/>
      <c r="E13" s="58"/>
      <c r="F13" s="13"/>
      <c r="G13" s="15" t="str">
        <f>RTD("fsxl",,"*OBSY",$H$8,"C",$N13)</f>
        <v>BRN 22JC8750-ICE</v>
      </c>
      <c r="H13" s="15">
        <f>RTD("fsxl",,$G13,_xll.FSFldID(H$12))</f>
        <v>4.5199999999999996</v>
      </c>
      <c r="I13" s="15">
        <f>RTD("fsxl",,$G13,_xll.FSFldID(I$12))</f>
        <v>4.59</v>
      </c>
      <c r="J13" s="15">
        <f>RTD("fsxl",,$G13,_xll.FSFldID(J$12))</f>
        <v>4.53</v>
      </c>
      <c r="K13" s="32">
        <f>RTD("fsxl",,$G13,_xll.FSFldID(K$12))</f>
        <v>44588.655833333331</v>
      </c>
      <c r="L13" s="15">
        <f>RTD("fsxl",,$G13,_xll.FSFldID(L$12))</f>
        <v>50</v>
      </c>
      <c r="M13" s="15">
        <f>RTD("fsxl",,$G13,_xll.FSFldID(M$12))</f>
        <v>1346</v>
      </c>
      <c r="N13" s="15">
        <f>RTD("fsxl",,"*OBST",$H$8,"-5")</f>
        <v>87.5</v>
      </c>
      <c r="O13" s="15" t="str">
        <f>RTD("fsxl",,"*OBSY",$H$8,"P",$N13)</f>
        <v>BRN 22JP8750-ICE</v>
      </c>
      <c r="P13" s="15">
        <f>RTD("fsxl",,$O13,_xll.FSFldID(P$12))</f>
        <v>3.34</v>
      </c>
      <c r="Q13" s="15">
        <f>RTD("fsxl",,$O13,_xll.FSFldID(Q$12))</f>
        <v>3.39</v>
      </c>
      <c r="R13" s="17">
        <f>RTD("fsxl",,$O13,_xll.FSFldID(R$12))</f>
        <v>3.09</v>
      </c>
      <c r="S13" s="32">
        <f>RTD("fsxl",,$O13,_xll.FSFldID(S$12))</f>
        <v>44588.655868055554</v>
      </c>
      <c r="T13" s="15">
        <f>RTD("fsxl",,$O13,_xll.FSFldID(T$12))</f>
        <v>34</v>
      </c>
      <c r="U13" s="15">
        <f>RTD("fsxl",,$O13,_xll.FSFldID(U$12))</f>
        <v>465</v>
      </c>
      <c r="AE13" s="2"/>
      <c r="AF13" s="2"/>
      <c r="AG13" s="2"/>
      <c r="AH13" s="2"/>
      <c r="AI13" s="2"/>
    </row>
    <row r="14" spans="1:37" s="1" customFormat="1" x14ac:dyDescent="0.2">
      <c r="A14" s="58"/>
      <c r="B14" s="50"/>
      <c r="C14" s="50"/>
      <c r="D14" s="50"/>
      <c r="E14" s="58"/>
      <c r="F14" s="13"/>
      <c r="G14" s="23" t="str">
        <f>RTD("fsxl",,"*OBSY",$H$8,"C",$N14)</f>
        <v>BRN 22JC8775-ICE</v>
      </c>
      <c r="H14" s="23">
        <f>RTD("fsxl",,$G14,_xll.FSFldID(H$12))</f>
        <v>4.38</v>
      </c>
      <c r="I14" s="23">
        <f>RTD("fsxl",,$G14,_xll.FSFldID(I$12))</f>
        <v>4.45</v>
      </c>
      <c r="J14" s="23" t="str">
        <f>RTD("fsxl",,$G14,_xll.FSFldID(J$12))</f>
        <v/>
      </c>
      <c r="K14" s="40">
        <f>RTD("fsxl",,$G14,_xll.FSFldID(K$12))</f>
        <v>44588.655659722222</v>
      </c>
      <c r="L14" s="23">
        <f>RTD("fsxl",,$G14,_xll.FSFldID(L$12))</f>
        <v>0</v>
      </c>
      <c r="M14" s="23">
        <f>RTD("fsxl",,$G14,_xll.FSFldID(M$12))</f>
        <v>94</v>
      </c>
      <c r="N14" s="23">
        <f>RTD("fsxl",,"*OBST",$H$8,"-4")</f>
        <v>87.75</v>
      </c>
      <c r="O14" s="23" t="str">
        <f>RTD("fsxl",,"*OBSY",$H$8,"P",$N14)</f>
        <v>BRN 22JP8775-ICE</v>
      </c>
      <c r="P14" s="23">
        <f>RTD("fsxl",,$O14,_xll.FSFldID(P$12))</f>
        <v>3.45</v>
      </c>
      <c r="Q14" s="23">
        <f>RTD("fsxl",,$O14,_xll.FSFldID(Q$12))</f>
        <v>3.5</v>
      </c>
      <c r="R14" s="23">
        <f>RTD("fsxl",,$O14,_xll.FSFldID(R$12))</f>
        <v>3.43</v>
      </c>
      <c r="S14" s="40">
        <f>RTD("fsxl",,$O14,_xll.FSFldID(S$12))</f>
        <v>44588.655868055554</v>
      </c>
      <c r="T14" s="23">
        <f>RTD("fsxl",,$O14,_xll.FSFldID(T$12))</f>
        <v>6</v>
      </c>
      <c r="U14" s="23">
        <f>RTD("fsxl",,$O14,_xll.FSFldID(U$12))</f>
        <v>27</v>
      </c>
      <c r="AE14" s="2"/>
      <c r="AF14" s="2"/>
      <c r="AG14" s="2"/>
      <c r="AH14" s="2"/>
      <c r="AI14" s="2"/>
    </row>
    <row r="15" spans="1:37" s="1" customFormat="1" x14ac:dyDescent="0.2">
      <c r="A15" s="58"/>
      <c r="B15" s="50"/>
      <c r="C15" s="50"/>
      <c r="D15" s="50"/>
      <c r="E15" s="58"/>
      <c r="F15" s="13"/>
      <c r="G15" s="23" t="str">
        <f>RTD("fsxl",,"*OBSY",$H$8,"C",$N15)</f>
        <v>BRN 22JC8800-ICE</v>
      </c>
      <c r="H15" s="23">
        <f>RTD("fsxl",,$G15,_xll.FSFldID(H$12))</f>
        <v>4.25</v>
      </c>
      <c r="I15" s="23">
        <f>RTD("fsxl",,$G15,_xll.FSFldID(I$12))</f>
        <v>4.32</v>
      </c>
      <c r="J15" s="23">
        <f>RTD("fsxl",,$G15,_xll.FSFldID(J$12))</f>
        <v>4.03</v>
      </c>
      <c r="K15" s="40">
        <f>RTD("fsxl",,$G15,_xll.FSFldID(K$12))</f>
        <v>44588.655833333331</v>
      </c>
      <c r="L15" s="23">
        <f>RTD("fsxl",,$G15,_xll.FSFldID(L$12))</f>
        <v>1</v>
      </c>
      <c r="M15" s="23">
        <f>RTD("fsxl",,$G15,_xll.FSFldID(M$12))</f>
        <v>2446</v>
      </c>
      <c r="N15" s="23">
        <f>RTD("fsxl",,"*OBST",$H$8,"-3")</f>
        <v>88</v>
      </c>
      <c r="O15" s="23" t="str">
        <f>RTD("fsxl",,"*OBSY",$H$8,"P",$N15)</f>
        <v>BRN 22JP8800-ICE</v>
      </c>
      <c r="P15" s="23">
        <f>RTD("fsxl",,$O15,_xll.FSFldID(P$12))</f>
        <v>3.56</v>
      </c>
      <c r="Q15" s="23">
        <f>RTD("fsxl",,$O15,_xll.FSFldID(Q$12))</f>
        <v>3.62</v>
      </c>
      <c r="R15" s="23">
        <f>RTD("fsxl",,$O15,_xll.FSFldID(R$12))</f>
        <v>3.54</v>
      </c>
      <c r="S15" s="40">
        <f>RTD("fsxl",,$O15,_xll.FSFldID(S$12))</f>
        <v>44588.655833333331</v>
      </c>
      <c r="T15" s="23">
        <f>RTD("fsxl",,$O15,_xll.FSFldID(T$12))</f>
        <v>128</v>
      </c>
      <c r="U15" s="39">
        <f>RTD("fsxl",,$O15,_xll.FSFldID(U$12))</f>
        <v>611</v>
      </c>
      <c r="AE15" s="2"/>
      <c r="AF15" s="2"/>
      <c r="AG15" s="2"/>
      <c r="AH15" s="2"/>
      <c r="AI15" s="2"/>
    </row>
    <row r="16" spans="1:37" s="1" customFormat="1" ht="15" customHeight="1" x14ac:dyDescent="0.2">
      <c r="A16" s="58"/>
      <c r="B16" s="58"/>
      <c r="C16" s="58"/>
      <c r="D16" s="58"/>
      <c r="E16" s="58"/>
      <c r="F16" s="13"/>
      <c r="G16" s="23" t="str">
        <f>RTD("fsxl",,"*OBSY",$H$8,"C",$N16)</f>
        <v>BRN 22JC8825-ICE</v>
      </c>
      <c r="H16" s="23">
        <f>RTD("fsxl",,$G16,_xll.FSFldID(H$12))</f>
        <v>4.12</v>
      </c>
      <c r="I16" s="23">
        <f>RTD("fsxl",,$G16,_xll.FSFldID(I$12))</f>
        <v>4.1900000000000004</v>
      </c>
      <c r="J16" s="23" t="str">
        <f>RTD("fsxl",,$G16,_xll.FSFldID(J$12))</f>
        <v/>
      </c>
      <c r="K16" s="40">
        <f>RTD("fsxl",,$G16,_xll.FSFldID(K$12))</f>
        <v>44588.655868055554</v>
      </c>
      <c r="L16" s="23">
        <f>RTD("fsxl",,$G16,_xll.FSFldID(L$12))</f>
        <v>0</v>
      </c>
      <c r="M16" s="23">
        <f>RTD("fsxl",,$G16,_xll.FSFldID(M$12))</f>
        <v>18</v>
      </c>
      <c r="N16" s="23">
        <f>RTD("fsxl",,"*OBST",$H$8,"-2")</f>
        <v>88.25</v>
      </c>
      <c r="O16" s="23" t="str">
        <f>RTD("fsxl",,"*OBSY",$H$8,"P",$N16)</f>
        <v>BRN 22JP8825-ICE</v>
      </c>
      <c r="P16" s="23">
        <f>RTD("fsxl",,$O16,_xll.FSFldID(P$12))</f>
        <v>3.68</v>
      </c>
      <c r="Q16" s="23">
        <f>RTD("fsxl",,$O16,_xll.FSFldID(Q$12))</f>
        <v>3.74</v>
      </c>
      <c r="R16" s="23" t="str">
        <f>RTD("fsxl",,$O16,_xll.FSFldID(R$12))</f>
        <v/>
      </c>
      <c r="S16" s="40">
        <f>RTD("fsxl",,$O16,_xll.FSFldID(S$12))</f>
        <v>44588.655578703707</v>
      </c>
      <c r="T16" s="23">
        <f>RTD("fsxl",,$O16,_xll.FSFldID(T$12))</f>
        <v>0</v>
      </c>
      <c r="U16" s="39">
        <f>RTD("fsxl",,$O16,_xll.FSFldID(U$12))</f>
        <v>10</v>
      </c>
      <c r="AE16" s="2"/>
      <c r="AF16" s="2"/>
      <c r="AG16" s="2"/>
      <c r="AH16" s="2"/>
      <c r="AI16" s="2"/>
    </row>
    <row r="17" spans="1:37" s="1" customFormat="1" x14ac:dyDescent="0.2">
      <c r="A17" s="58"/>
      <c r="B17" s="58"/>
      <c r="C17" s="58"/>
      <c r="D17" s="58"/>
      <c r="E17" s="58"/>
      <c r="F17" s="13"/>
      <c r="G17" s="23" t="str">
        <f>RTD("fsxl",,"*OBSY",$H$8,"C",$N17)</f>
        <v>BRN 22JC8850-ICE</v>
      </c>
      <c r="H17" s="30">
        <f>RTD("fsxl",,$G17,_xll.FSFldID(H$12))</f>
        <v>3.99</v>
      </c>
      <c r="I17" s="30">
        <f>RTD("fsxl",,$G17,_xll.FSFldID(I$12))</f>
        <v>4.05</v>
      </c>
      <c r="J17" s="30">
        <f>RTD("fsxl",,$G17,_xll.FSFldID(J$12))</f>
        <v>3.8</v>
      </c>
      <c r="K17" s="40">
        <f>RTD("fsxl",,$G17,_xll.FSFldID(K$12))</f>
        <v>44588.655833333331</v>
      </c>
      <c r="L17" s="30">
        <f>RTD("fsxl",,$G17,_xll.FSFldID(L$12))</f>
        <v>830</v>
      </c>
      <c r="M17" s="30">
        <f>RTD("fsxl",,$G17,_xll.FSFldID(M$12))</f>
        <v>1362</v>
      </c>
      <c r="N17" s="30">
        <f>RTD("fsxl",,"*OBST",$H$8,"-1")</f>
        <v>88.5</v>
      </c>
      <c r="O17" s="30" t="str">
        <f>RTD("fsxl",,"*OBSY",$H$8,"P",$N17)</f>
        <v>BRN 22JP8850-ICE</v>
      </c>
      <c r="P17" s="23">
        <f>RTD("fsxl",,$O17,_xll.FSFldID(P$12))</f>
        <v>3.8</v>
      </c>
      <c r="Q17" s="30">
        <f>RTD("fsxl",,$O17,_xll.FSFldID(Q$12))</f>
        <v>3.86</v>
      </c>
      <c r="R17" s="30" t="str">
        <f>RTD("fsxl",,$O17,_xll.FSFldID(R$12))</f>
        <v/>
      </c>
      <c r="S17" s="41">
        <f>RTD("fsxl",,$O17,_xll.FSFldID(S$12))</f>
        <v>44588.655833333331</v>
      </c>
      <c r="T17" s="23">
        <f>RTD("fsxl",,$O17,_xll.FSFldID(T$12))</f>
        <v>27</v>
      </c>
      <c r="U17" s="39">
        <f>RTD("fsxl",,$O17,_xll.FSFldID(U$12))</f>
        <v>7</v>
      </c>
      <c r="AE17" s="2"/>
      <c r="AF17" s="2"/>
      <c r="AG17" s="2"/>
      <c r="AH17" s="2"/>
      <c r="AI17" s="2"/>
    </row>
    <row r="18" spans="1:37" s="1" customFormat="1" x14ac:dyDescent="0.2">
      <c r="A18" s="58"/>
      <c r="B18" s="58"/>
      <c r="C18" s="58"/>
      <c r="D18" s="58"/>
      <c r="E18" s="58"/>
      <c r="F18" s="13"/>
      <c r="G18" s="23" t="str">
        <f>RTD("fsxl",,"*OBSY",$H$8,"C",$N18)</f>
        <v>BRN 22JC8875-ICE</v>
      </c>
      <c r="H18" s="23">
        <f>RTD("fsxl",,$G18,_xll.FSFldID(H$12))</f>
        <v>3.87</v>
      </c>
      <c r="I18" s="23">
        <f>RTD("fsxl",,$G18,_xll.FSFldID(I$12))</f>
        <v>3.93</v>
      </c>
      <c r="J18" s="23" t="str">
        <f>RTD("fsxl",,$G18,_xll.FSFldID(J$12))</f>
        <v/>
      </c>
      <c r="K18" s="40">
        <f>RTD("fsxl",,$G18,_xll.FSFldID(K$12))</f>
        <v>44588.655868055554</v>
      </c>
      <c r="L18" s="23">
        <f>RTD("fsxl",,$G18,_xll.FSFldID(L$12))</f>
        <v>27</v>
      </c>
      <c r="M18" s="23">
        <f>RTD("fsxl",,$G18,_xll.FSFldID(M$12))</f>
        <v>25</v>
      </c>
      <c r="N18" s="23">
        <f>RTD("fsxl",,"*OBST",$H$8,"0")</f>
        <v>88.75</v>
      </c>
      <c r="O18" s="23" t="str">
        <f>RTD("fsxl",,"*OBSY",$H$8,"P",$N18)</f>
        <v>BRN 22JP8875-ICE</v>
      </c>
      <c r="P18" s="23">
        <f>RTD("fsxl",,$O18,_xll.FSFldID(P$12))</f>
        <v>3.93</v>
      </c>
      <c r="Q18" s="23">
        <f>RTD("fsxl",,$O18,_xll.FSFldID(Q$12))</f>
        <v>3.98</v>
      </c>
      <c r="R18" s="37" t="str">
        <f>RTD("fsxl",,$O18,_xll.FSFldID(R$12))</f>
        <v/>
      </c>
      <c r="S18" s="40">
        <f>RTD("fsxl",,$O18,_xll.FSFldID(S$12))</f>
        <v>44588.655868055554</v>
      </c>
      <c r="T18" s="23">
        <f>RTD("fsxl",,$O18,_xll.FSFldID(T$12))</f>
        <v>27</v>
      </c>
      <c r="U18" s="39">
        <f>RTD("fsxl",,$O18,_xll.FSFldID(U$12))</f>
        <v>2</v>
      </c>
      <c r="AE18" s="2"/>
      <c r="AF18" s="2"/>
      <c r="AG18" s="2"/>
      <c r="AH18" s="2"/>
      <c r="AI18" s="2"/>
    </row>
    <row r="19" spans="1:37" s="1" customFormat="1" x14ac:dyDescent="0.2">
      <c r="A19" s="58"/>
      <c r="B19" s="58"/>
      <c r="C19" s="58"/>
      <c r="D19" s="58"/>
      <c r="E19" s="58"/>
      <c r="F19" s="13"/>
      <c r="G19" s="23" t="str">
        <f>RTD("fsxl",,"*OBSY",$H$8,"C",$N19)</f>
        <v>BRN 22JC8900-ICE</v>
      </c>
      <c r="H19" s="23">
        <f>RTD("fsxl",,$G19,_xll.FSFldID(H$12))</f>
        <v>3.74</v>
      </c>
      <c r="I19" s="23">
        <f>RTD("fsxl",,$G19,_xll.FSFldID(I$12))</f>
        <v>3.8</v>
      </c>
      <c r="J19" s="23">
        <f>RTD("fsxl",,$G19,_xll.FSFldID(J$12))</f>
        <v>3.57</v>
      </c>
      <c r="K19" s="40">
        <f>RTD("fsxl",,$G19,_xll.FSFldID(K$12))</f>
        <v>44588.655833333331</v>
      </c>
      <c r="L19" s="23">
        <f>RTD("fsxl",,$G19,_xll.FSFldID(L$12))</f>
        <v>112</v>
      </c>
      <c r="M19" s="23">
        <f>RTD("fsxl",,$G19,_xll.FSFldID(M$12))</f>
        <v>898</v>
      </c>
      <c r="N19" s="23">
        <f>RTD("fsxl",,"*OBST",$H$8,"1")</f>
        <v>89</v>
      </c>
      <c r="O19" s="23" t="str">
        <f>RTD("fsxl",,"*OBSY",$H$8,"P",$N19)</f>
        <v>BRN 22JP8900-ICE</v>
      </c>
      <c r="P19" s="23">
        <f>RTD("fsxl",,$O19,_xll.FSFldID(P$12))</f>
        <v>4.0599999999999996</v>
      </c>
      <c r="Q19" s="23">
        <f>RTD("fsxl",,$O19,_xll.FSFldID(Q$12))</f>
        <v>4.1100000000000003</v>
      </c>
      <c r="R19" s="38">
        <f>RTD("fsxl",,$O19,_xll.FSFldID(R$12))</f>
        <v>4.41</v>
      </c>
      <c r="S19" s="40">
        <f>RTD("fsxl",,$O19,_xll.FSFldID(S$12))</f>
        <v>44588.655868055554</v>
      </c>
      <c r="T19" s="23">
        <f>RTD("fsxl",,$O19,_xll.FSFldID(T$12))</f>
        <v>1717</v>
      </c>
      <c r="U19" s="39">
        <f>RTD("fsxl",,$O19,_xll.FSFldID(U$12))</f>
        <v>116</v>
      </c>
      <c r="AE19" s="2"/>
      <c r="AF19" s="2"/>
      <c r="AG19" s="2"/>
      <c r="AH19" s="2"/>
      <c r="AI19" s="2"/>
    </row>
    <row r="20" spans="1:37" s="1" customFormat="1" x14ac:dyDescent="0.2">
      <c r="A20" s="58"/>
      <c r="B20" s="58"/>
      <c r="C20" s="58"/>
      <c r="D20" s="58"/>
      <c r="E20" s="58"/>
      <c r="F20" s="13"/>
      <c r="G20" s="23" t="str">
        <f>RTD("fsxl",,"*OBSY",$H$8,"C",$N20)</f>
        <v>BRN 22JC8925-ICE</v>
      </c>
      <c r="H20" s="23">
        <f>RTD("fsxl",,$G20,_xll.FSFldID(H$12))</f>
        <v>3.62</v>
      </c>
      <c r="I20" s="23">
        <f>RTD("fsxl",,$G20,_xll.FSFldID(I$12))</f>
        <v>3.68</v>
      </c>
      <c r="J20" s="23">
        <f>RTD("fsxl",,$G20,_xll.FSFldID(J$12))</f>
        <v>3.59</v>
      </c>
      <c r="K20" s="40">
        <f>RTD("fsxl",,$G20,_xll.FSFldID(K$12))</f>
        <v>44588.655833333331</v>
      </c>
      <c r="L20" s="23">
        <f>RTD("fsxl",,$G20,_xll.FSFldID(L$12))</f>
        <v>2</v>
      </c>
      <c r="M20" s="23">
        <f>RTD("fsxl",,$G20,_xll.FSFldID(M$12))</f>
        <v>47</v>
      </c>
      <c r="N20" s="23">
        <f>RTD("fsxl",,"*OBST",$H$8,"2")</f>
        <v>89.25</v>
      </c>
      <c r="O20" s="23" t="str">
        <f>RTD("fsxl",,"*OBSY",$H$8,"P",$N20)</f>
        <v>BRN 22JP8925-ICE</v>
      </c>
      <c r="P20" s="23">
        <f>RTD("fsxl",,$O20,_xll.FSFldID(P$12))</f>
        <v>4.18</v>
      </c>
      <c r="Q20" s="23">
        <f>RTD("fsxl",,$O20,_xll.FSFldID(Q$12))</f>
        <v>4.24</v>
      </c>
      <c r="R20" s="38">
        <f>RTD("fsxl",,$O20,_xll.FSFldID(R$12))</f>
        <v>4.17</v>
      </c>
      <c r="S20" s="40">
        <f>RTD("fsxl",,$O20,_xll.FSFldID(S$12))</f>
        <v>44588.655868055554</v>
      </c>
      <c r="T20" s="23">
        <f>RTD("fsxl",,$O20,_xll.FSFldID(T$12))</f>
        <v>7</v>
      </c>
      <c r="U20" s="39">
        <f>RTD("fsxl",,$O20,_xll.FSFldID(U$12))</f>
        <v>23</v>
      </c>
      <c r="AE20" s="2"/>
      <c r="AF20" s="2"/>
      <c r="AG20" s="2"/>
      <c r="AH20" s="2"/>
      <c r="AI20" s="2"/>
    </row>
    <row r="21" spans="1:37" s="1" customFormat="1" ht="15" customHeight="1" x14ac:dyDescent="0.2">
      <c r="A21" s="58"/>
      <c r="B21" s="58"/>
      <c r="C21" s="58"/>
      <c r="D21" s="58"/>
      <c r="E21" s="58"/>
      <c r="F21" s="13"/>
      <c r="G21" s="23" t="str">
        <f>RTD("fsxl",,"*OBSY",$H$8,"C",$N21)</f>
        <v>BRN 22JC8950-ICE</v>
      </c>
      <c r="H21" s="23">
        <f>RTD("fsxl",,$G21,_xll.FSFldID(H$12))</f>
        <v>3.51</v>
      </c>
      <c r="I21" s="23">
        <f>RTD("fsxl",,$G21,_xll.FSFldID(I$12))</f>
        <v>3.57</v>
      </c>
      <c r="J21" s="23">
        <f>RTD("fsxl",,$G21,_xll.FSFldID(J$12))</f>
        <v>3.21</v>
      </c>
      <c r="K21" s="40">
        <f>RTD("fsxl",,$G21,_xll.FSFldID(K$12))</f>
        <v>44588.655868055554</v>
      </c>
      <c r="L21" s="23">
        <f>RTD("fsxl",,$G21,_xll.FSFldID(L$12))</f>
        <v>45</v>
      </c>
      <c r="M21" s="23">
        <f>RTD("fsxl",,$G21,_xll.FSFldID(M$12))</f>
        <v>325</v>
      </c>
      <c r="N21" s="23">
        <f>RTD("fsxl",,"*OBST",$H$8,"3")</f>
        <v>89.5</v>
      </c>
      <c r="O21" s="23" t="str">
        <f>RTD("fsxl",,"*OBSY",$H$8,"P",$N21)</f>
        <v>BRN 22JP8950-ICE</v>
      </c>
      <c r="P21" s="23">
        <f>RTD("fsxl",,$O21,_xll.FSFldID(P$12))</f>
        <v>4.32</v>
      </c>
      <c r="Q21" s="23">
        <f>RTD("fsxl",,$O21,_xll.FSFldID(Q$12))</f>
        <v>4.37</v>
      </c>
      <c r="R21" s="23">
        <f>RTD("fsxl",,$O21,_xll.FSFldID(R$12))</f>
        <v>4.6900000000000004</v>
      </c>
      <c r="S21" s="40">
        <f>RTD("fsxl",,$O21,_xll.FSFldID(S$12))</f>
        <v>44588.655868055554</v>
      </c>
      <c r="T21" s="23">
        <f>RTD("fsxl",,$O21,_xll.FSFldID(T$12))</f>
        <v>30</v>
      </c>
      <c r="U21" s="39">
        <f>RTD("fsxl",,$O21,_xll.FSFldID(U$12))</f>
        <v>3</v>
      </c>
      <c r="AE21" s="2"/>
      <c r="AF21" s="2"/>
      <c r="AG21" s="2"/>
      <c r="AH21" s="2"/>
      <c r="AI21" s="2"/>
    </row>
    <row r="22" spans="1:37" s="1" customFormat="1" x14ac:dyDescent="0.2">
      <c r="A22" s="58"/>
      <c r="B22" s="58"/>
      <c r="C22" s="58"/>
      <c r="D22" s="58"/>
      <c r="E22" s="58"/>
      <c r="F22" s="13"/>
      <c r="G22" s="23" t="str">
        <f>RTD("fsxl",,"*OBSY",$H$8,"C",$N22)</f>
        <v>BRN 22JC8975-ICE</v>
      </c>
      <c r="H22" s="30">
        <f>RTD("fsxl",,$G22,_xll.FSFldID(H$12))</f>
        <v>3.39</v>
      </c>
      <c r="I22" s="30">
        <f>RTD("fsxl",,$G22,_xll.FSFldID(I$12))</f>
        <v>3.45</v>
      </c>
      <c r="J22" s="30">
        <f>RTD("fsxl",,$G22,_xll.FSFldID(J$12))</f>
        <v>3.46</v>
      </c>
      <c r="K22" s="40">
        <f>RTD("fsxl",,$G22,_xll.FSFldID(K$12))</f>
        <v>44588.655833333331</v>
      </c>
      <c r="L22" s="30">
        <f>RTD("fsxl",,$G22,_xll.FSFldID(L$12))</f>
        <v>3</v>
      </c>
      <c r="M22" s="30">
        <f>RTD("fsxl",,$G22,_xll.FSFldID(M$12))</f>
        <v>37</v>
      </c>
      <c r="N22" s="30">
        <f>RTD("fsxl",,"*OBST",$H$8,"4")</f>
        <v>89.75</v>
      </c>
      <c r="O22" s="30" t="str">
        <f>RTD("fsxl",,"*OBSY",$H$8,"P",$N22)</f>
        <v>BRN 22JP8975-ICE</v>
      </c>
      <c r="P22" s="23">
        <f>RTD("fsxl",,$O22,_xll.FSFldID(P$12))</f>
        <v>4.45</v>
      </c>
      <c r="Q22" s="30">
        <f>RTD("fsxl",,$O22,_xll.FSFldID(Q$12))</f>
        <v>4.51</v>
      </c>
      <c r="R22" s="30">
        <f>RTD("fsxl",,$O22,_xll.FSFldID(R$12))</f>
        <v>4.16</v>
      </c>
      <c r="S22" s="41">
        <f>RTD("fsxl",,$O22,_xll.FSFldID(S$12))</f>
        <v>44588.655833333331</v>
      </c>
      <c r="T22" s="23">
        <f>RTD("fsxl",,$O22,_xll.FSFldID(T$12))</f>
        <v>8</v>
      </c>
      <c r="U22" s="39" t="str">
        <f>RTD("fsxl",,$O22,_xll.FSFldID(U$12))</f>
        <v/>
      </c>
      <c r="AE22" s="2"/>
      <c r="AF22" s="2"/>
      <c r="AG22" s="2"/>
      <c r="AH22" s="2"/>
      <c r="AI22" s="2"/>
    </row>
    <row r="23" spans="1:37" s="1" customFormat="1" x14ac:dyDescent="0.2">
      <c r="A23" s="58"/>
      <c r="B23" s="58"/>
      <c r="C23" s="58"/>
      <c r="D23" s="58"/>
      <c r="E23" s="58"/>
      <c r="F23" s="13"/>
      <c r="G23" s="23"/>
      <c r="H23" s="23"/>
      <c r="I23" s="23"/>
      <c r="J23" s="23"/>
      <c r="K23" s="40"/>
      <c r="L23" s="23"/>
      <c r="M23" s="23"/>
      <c r="N23" s="23"/>
      <c r="O23" s="23"/>
      <c r="P23" s="23"/>
      <c r="Q23" s="23"/>
      <c r="R23" s="37"/>
      <c r="S23" s="40"/>
      <c r="T23" s="23"/>
      <c r="U23" s="39"/>
      <c r="AE23" s="2"/>
      <c r="AF23" s="2"/>
      <c r="AG23" s="2"/>
      <c r="AH23" s="2"/>
      <c r="AI23" s="2"/>
    </row>
    <row r="24" spans="1:37" s="1" customFormat="1" ht="15" x14ac:dyDescent="0.25">
      <c r="A24" s="58"/>
      <c r="B24" s="58"/>
      <c r="C24" s="58"/>
      <c r="D24" s="58"/>
      <c r="E24" s="58"/>
      <c r="F24" s="13"/>
      <c r="G24" s="13"/>
      <c r="H24" s="14"/>
      <c r="I24" s="15"/>
      <c r="J24" s="15"/>
      <c r="K24" s="15"/>
      <c r="L24" s="31"/>
      <c r="M24" s="14"/>
      <c r="N24" s="15"/>
      <c r="O24" s="15"/>
      <c r="P24" s="15"/>
      <c r="Q24" s="13"/>
      <c r="R24" s="14"/>
      <c r="S24" s="16"/>
      <c r="T24" s="16"/>
      <c r="U24" s="32"/>
      <c r="V24" s="13"/>
      <c r="AG24" s="2"/>
      <c r="AH24" s="2"/>
      <c r="AI24" s="2"/>
      <c r="AJ24" s="2"/>
      <c r="AK24" s="2"/>
    </row>
    <row r="25" spans="1:37" s="1" customFormat="1" ht="15" x14ac:dyDescent="0.25">
      <c r="A25" s="58"/>
      <c r="B25" s="58"/>
      <c r="C25" s="58"/>
      <c r="D25" s="58"/>
      <c r="E25" s="58"/>
      <c r="F25" s="13"/>
      <c r="G25" s="13"/>
      <c r="H25" s="15"/>
      <c r="I25" s="13"/>
      <c r="J25" s="13"/>
      <c r="K25" s="13"/>
      <c r="L25" s="13"/>
      <c r="M25" s="15"/>
      <c r="N25" s="13"/>
      <c r="O25" s="13"/>
      <c r="P25" s="13"/>
      <c r="Q25" s="13"/>
      <c r="R25" s="15"/>
      <c r="S25" s="18"/>
      <c r="T25" s="18"/>
      <c r="U25" s="18"/>
      <c r="V25" s="13"/>
      <c r="AG25" s="2"/>
      <c r="AH25" s="2"/>
      <c r="AI25" s="2"/>
      <c r="AJ25" s="2"/>
      <c r="AK25" s="2"/>
    </row>
    <row r="26" spans="1:37" s="1" customFormat="1" ht="15" x14ac:dyDescent="0.25">
      <c r="A26" s="58"/>
      <c r="B26" s="58"/>
      <c r="C26" s="58"/>
      <c r="D26" s="58"/>
      <c r="E26" s="58"/>
      <c r="F26" s="13"/>
      <c r="G26" s="28" t="str">
        <f>_xll.ICEOptions(H26,G27:J27,G30:P30,R30:AA30,"OptionType=stock")</f>
        <v>Option Board</v>
      </c>
      <c r="H26" s="21" t="s">
        <v>78</v>
      </c>
      <c r="I26" s="13"/>
      <c r="J26" s="13"/>
      <c r="K26" s="13"/>
      <c r="L26" s="13"/>
      <c r="M26" s="15"/>
      <c r="N26" s="13"/>
      <c r="O26" s="13"/>
      <c r="P26" s="13"/>
      <c r="Q26" s="13"/>
      <c r="R26" s="15"/>
      <c r="S26" s="18"/>
      <c r="T26" s="18"/>
      <c r="U26" s="18"/>
      <c r="V26" s="13"/>
      <c r="AG26" s="2"/>
      <c r="AH26" s="2"/>
      <c r="AI26" s="2"/>
      <c r="AJ26" s="2"/>
      <c r="AK26" s="2"/>
    </row>
    <row r="27" spans="1:37" s="1" customFormat="1" ht="15" x14ac:dyDescent="0.25">
      <c r="A27" s="58"/>
      <c r="B27" s="58"/>
      <c r="C27" s="58"/>
      <c r="D27" s="58"/>
      <c r="E27" s="58"/>
      <c r="F27" s="13"/>
      <c r="G27" s="15" t="s">
        <v>54</v>
      </c>
      <c r="H27" s="15" t="s">
        <v>1</v>
      </c>
      <c r="I27" s="15" t="s">
        <v>27</v>
      </c>
      <c r="J27" s="15" t="s">
        <v>79</v>
      </c>
      <c r="K27" s="15"/>
      <c r="L27" s="13"/>
      <c r="M27" s="13"/>
      <c r="N27" s="13"/>
      <c r="O27" s="13"/>
      <c r="P27" s="13"/>
      <c r="Q27" s="13"/>
      <c r="R27" s="13"/>
      <c r="S27" s="13"/>
      <c r="T27" s="13"/>
      <c r="U27" s="13"/>
      <c r="V27" s="13"/>
      <c r="AG27" s="2"/>
      <c r="AH27" s="2"/>
      <c r="AI27" s="2"/>
      <c r="AJ27" s="2"/>
      <c r="AK27" s="2"/>
    </row>
    <row r="28" spans="1:37" x14ac:dyDescent="0.2">
      <c r="G28" s="25" t="s">
        <v>77</v>
      </c>
      <c r="H28" s="25">
        <f>RTD("ice.xl",,"*Q",$G$28,_xll.ICEFldID(H$27))</f>
        <v>132.52000000000001</v>
      </c>
      <c r="I28" s="25">
        <f>RTD("ice.xl",,"*Q",$G$28,_xll.ICEFldID(I$27))</f>
        <v>-1.74</v>
      </c>
      <c r="J28" s="25">
        <f>RTD("ice.xl",,"*Q",$G$28,_xll.ICEFldID(J$27))</f>
        <v>-1.2959999999999999E-2</v>
      </c>
      <c r="K28" s="62"/>
      <c r="L28" s="13"/>
      <c r="M28" s="13"/>
      <c r="N28" s="13"/>
      <c r="O28" s="13"/>
      <c r="P28" s="13"/>
      <c r="Q28" s="13"/>
      <c r="R28" s="13"/>
      <c r="S28" s="13"/>
      <c r="T28" s="13"/>
      <c r="U28" s="13"/>
    </row>
    <row r="29" spans="1:37" ht="15" x14ac:dyDescent="0.25">
      <c r="G29" s="51" t="s">
        <v>55</v>
      </c>
      <c r="H29" s="51"/>
      <c r="I29" s="51"/>
      <c r="J29" s="51"/>
      <c r="K29" s="51"/>
      <c r="L29" s="51"/>
      <c r="M29" s="51"/>
      <c r="N29" s="51"/>
      <c r="O29" s="51"/>
      <c r="P29" s="51"/>
      <c r="Q29" s="46"/>
      <c r="R29" s="51" t="s">
        <v>56</v>
      </c>
      <c r="S29" s="51"/>
      <c r="T29" s="51"/>
      <c r="U29" s="51"/>
      <c r="V29" s="51"/>
      <c r="W29" s="51"/>
      <c r="X29" s="51"/>
      <c r="Y29" s="51"/>
      <c r="Z29" s="51"/>
      <c r="AA29" s="51"/>
    </row>
    <row r="30" spans="1:37" ht="15" x14ac:dyDescent="0.25">
      <c r="G30" s="47" t="s">
        <v>54</v>
      </c>
      <c r="H30" s="47" t="s">
        <v>2</v>
      </c>
      <c r="I30" s="47" t="s">
        <v>3</v>
      </c>
      <c r="J30" s="47" t="s">
        <v>23</v>
      </c>
      <c r="K30" s="47" t="s">
        <v>24</v>
      </c>
      <c r="L30" s="47" t="s">
        <v>1</v>
      </c>
      <c r="M30" s="47" t="s">
        <v>27</v>
      </c>
      <c r="N30" s="21" t="s">
        <v>51</v>
      </c>
      <c r="O30" s="47" t="s">
        <v>25</v>
      </c>
      <c r="P30" s="47" t="s">
        <v>26</v>
      </c>
      <c r="Q30" s="47" t="s">
        <v>57</v>
      </c>
      <c r="R30" s="47" t="s">
        <v>54</v>
      </c>
      <c r="S30" s="47" t="s">
        <v>2</v>
      </c>
      <c r="T30" s="47" t="s">
        <v>3</v>
      </c>
      <c r="U30" s="47" t="s">
        <v>23</v>
      </c>
      <c r="V30" s="21" t="s">
        <v>24</v>
      </c>
      <c r="W30" s="21" t="s">
        <v>1</v>
      </c>
      <c r="X30" s="21" t="s">
        <v>27</v>
      </c>
      <c r="Y30" s="21" t="s">
        <v>51</v>
      </c>
      <c r="Z30" s="21" t="s">
        <v>25</v>
      </c>
      <c r="AA30" s="21" t="s">
        <v>26</v>
      </c>
    </row>
    <row r="31" spans="1:37" ht="15" x14ac:dyDescent="0.25">
      <c r="G31" s="15" t="str">
        <f>RTD("ice.xl",,"*OBSYE",$H$26,"C",$Q31)</f>
        <v>O:IBM 22A128.00D28</v>
      </c>
      <c r="H31" s="15">
        <f>RTD("ice.xl",,"*Q",$G31,_xll.ICEFldID(H$30))</f>
        <v>4.5</v>
      </c>
      <c r="I31" s="15">
        <f>RTD("ice.xl",,"*Q",$G31,_xll.ICEFldID(I$30))</f>
        <v>4.9000000000000004</v>
      </c>
      <c r="J31" s="15">
        <f>RTD("ice.xl",,"*Q",$G31,_xll.ICEFldID(J$30))</f>
        <v>6.6</v>
      </c>
      <c r="K31" s="15">
        <f>RTD("ice.xl",,"*Q",$G31,_xll.ICEFldID(K$30))</f>
        <v>4.5199999999999996</v>
      </c>
      <c r="L31" s="15">
        <f>RTD("ice.xl",,"*Q",$G31,_xll.ICEFldID(L$30))</f>
        <v>4.5199999999999996</v>
      </c>
      <c r="M31" s="15">
        <f>RTD("ice.xl",,"*Q",$G31,_xll.ICEFldID(M$30))</f>
        <v>-1.6</v>
      </c>
      <c r="N31" s="81">
        <f>RTD("ice.xl",,"*Q",$G31,_xll.ICEFldID(N$30))</f>
        <v>44588.634247685186</v>
      </c>
      <c r="O31" s="15">
        <f>RTD("ice.xl",,"*Q",$G31,_xll.ICEFldID(O$30))</f>
        <v>20</v>
      </c>
      <c r="P31" s="15">
        <f>RTD("ice.xl",,"*Q",$G31,_xll.ICEFldID(P$30))</f>
        <v>424</v>
      </c>
      <c r="Q31" s="15">
        <f>RTD("ice.xl",,"*OBSTE",$H$26,"-5")</f>
        <v>128</v>
      </c>
      <c r="R31" s="15" t="str">
        <f>RTD("ice.xl",,"*OBSYE",$H$26,"P",$Q31)</f>
        <v>O:IBM 22M128.00D28</v>
      </c>
      <c r="S31" s="15">
        <f>RTD("ice.xl",,"*Q",$R31,_xll.ICEFldID(S$30))</f>
        <v>0.13</v>
      </c>
      <c r="T31" s="15">
        <f>RTD("ice.xl",,"*Q",$R31,_xll.ICEFldID(T$30))</f>
        <v>0.17</v>
      </c>
      <c r="U31" s="15">
        <f>RTD("ice.xl",,"*Q",$R31,_xll.ICEFldID(U$30))</f>
        <v>0.24</v>
      </c>
      <c r="V31" s="1">
        <f>RTD("ice.xl",,"*Q",$R31,_xll.ICEFldID(V$30))</f>
        <v>0.09</v>
      </c>
      <c r="W31" s="1">
        <f>RTD("ice.xl",,"*Q",$R31,_xll.ICEFldID(W$30))</f>
        <v>0.14000000000000001</v>
      </c>
      <c r="X31" s="1">
        <f>RTD("ice.xl",,"*Q",$R31,_xll.ICEFldID(X$30))</f>
        <v>-0.14000000000000001</v>
      </c>
      <c r="Y31" s="83">
        <f>RTD("ice.xl",,"*Q",$R31,_xll.ICEFldID(Y$30))</f>
        <v>44588.634525462963</v>
      </c>
      <c r="Z31" s="1">
        <f>RTD("ice.xl",,"*Q",$R31,_xll.ICEFldID(Z$30))</f>
        <v>343</v>
      </c>
      <c r="AA31" s="1">
        <f>RTD("ice.xl",,"*Q",$R31,_xll.ICEFldID(AA$30))</f>
        <v>1102</v>
      </c>
    </row>
    <row r="32" spans="1:37" x14ac:dyDescent="0.2">
      <c r="G32" s="13" t="str">
        <f>RTD("ice.xl",,"*OBSYE",$H$26,"C",$Q32)</f>
        <v>O:IBM 22A129.00D28</v>
      </c>
      <c r="H32" s="13">
        <f>RTD("ice.xl",,"*Q",$G32,_xll.ICEFldID(H$30))</f>
        <v>3.55</v>
      </c>
      <c r="I32" s="13">
        <f>RTD("ice.xl",,"*Q",$G32,_xll.ICEFldID(I$30))</f>
        <v>4</v>
      </c>
      <c r="J32" s="13">
        <f>RTD("ice.xl",,"*Q",$G32,_xll.ICEFldID(J$30))</f>
        <v>5.58</v>
      </c>
      <c r="K32" s="13">
        <f>RTD("ice.xl",,"*Q",$G32,_xll.ICEFldID(K$30))</f>
        <v>3.67</v>
      </c>
      <c r="L32" s="13">
        <f>RTD("ice.xl",,"*Q",$G32,_xll.ICEFldID(L$30))</f>
        <v>4.33</v>
      </c>
      <c r="M32" s="13">
        <f>RTD("ice.xl",,"*Q",$G32,_xll.ICEFldID(M$30))</f>
        <v>-1.58</v>
      </c>
      <c r="N32" s="82">
        <f>RTD("ice.xl",,"*Q",$G32,_xll.ICEFldID(N$30))</f>
        <v>44588.634247685186</v>
      </c>
      <c r="O32" s="13">
        <f>RTD("ice.xl",,"*Q",$G32,_xll.ICEFldID(O$30))</f>
        <v>89</v>
      </c>
      <c r="P32" s="13">
        <f>RTD("ice.xl",,"*Q",$G32,_xll.ICEFldID(P$30))</f>
        <v>469</v>
      </c>
      <c r="Q32" s="13">
        <f>RTD("ice.xl",,"*OBSTE",$H$26,"-4")</f>
        <v>129</v>
      </c>
      <c r="R32" s="13" t="str">
        <f>RTD("ice.xl",,"*OBSYE",$H$26,"P",$Q32)</f>
        <v>O:IBM 22M129.00D28</v>
      </c>
      <c r="S32" s="13">
        <f>RTD("ice.xl",,"*Q",$R32,_xll.ICEFldID(S$30))</f>
        <v>0.19</v>
      </c>
      <c r="T32" s="13">
        <f>RTD("ice.xl",,"*Q",$R32,_xll.ICEFldID(T$30))</f>
        <v>0.26</v>
      </c>
      <c r="U32" s="13">
        <f>RTD("ice.xl",,"*Q",$R32,_xll.ICEFldID(U$30))</f>
        <v>0.36</v>
      </c>
      <c r="V32" s="1">
        <f>RTD("ice.xl",,"*Q",$R32,_xll.ICEFldID(V$30))</f>
        <v>0.13</v>
      </c>
      <c r="W32" s="1">
        <f>RTD("ice.xl",,"*Q",$R32,_xll.ICEFldID(W$30))</f>
        <v>0.25</v>
      </c>
      <c r="X32" s="1">
        <f>RTD("ice.xl",,"*Q",$R32,_xll.ICEFldID(X$30))</f>
        <v>-0.04</v>
      </c>
      <c r="Y32" s="83">
        <f>RTD("ice.xl",,"*Q",$R32,_xll.ICEFldID(Y$30))</f>
        <v>44588.634525462963</v>
      </c>
      <c r="Z32" s="1">
        <f>RTD("ice.xl",,"*Q",$R32,_xll.ICEFldID(Z$30))</f>
        <v>160</v>
      </c>
      <c r="AA32" s="1">
        <f>RTD("ice.xl",,"*Q",$R32,_xll.ICEFldID(AA$30))</f>
        <v>682</v>
      </c>
    </row>
    <row r="33" spans="1:37" x14ac:dyDescent="0.2">
      <c r="G33" s="13" t="str">
        <f>RTD("ice.xl",,"*OBSYE",$H$26,"C",$Q33)</f>
        <v>O:IBM 22A130.00D28</v>
      </c>
      <c r="H33" s="13">
        <f>RTD("ice.xl",,"*Q",$G33,_xll.ICEFldID(H$30))</f>
        <v>2.66</v>
      </c>
      <c r="I33" s="13">
        <f>RTD("ice.xl",,"*Q",$G33,_xll.ICEFldID(I$30))</f>
        <v>3.05</v>
      </c>
      <c r="J33" s="13">
        <f>RTD("ice.xl",,"*Q",$G33,_xll.ICEFldID(J$30))</f>
        <v>4.8</v>
      </c>
      <c r="K33" s="13">
        <f>RTD("ice.xl",,"*Q",$G33,_xll.ICEFldID(K$30))</f>
        <v>2.68</v>
      </c>
      <c r="L33" s="13">
        <f>RTD("ice.xl",,"*Q",$G33,_xll.ICEFldID(L$30))</f>
        <v>3.05</v>
      </c>
      <c r="M33" s="13">
        <f>RTD("ice.xl",,"*Q",$G33,_xll.ICEFldID(M$30))</f>
        <v>-1.35</v>
      </c>
      <c r="N33" s="82">
        <f>RTD("ice.xl",,"*Q",$G33,_xll.ICEFldID(N$30))</f>
        <v>44588.634247685186</v>
      </c>
      <c r="O33" s="13">
        <f>RTD("ice.xl",,"*Q",$G33,_xll.ICEFldID(O$30))</f>
        <v>80</v>
      </c>
      <c r="P33" s="13">
        <f>RTD("ice.xl",,"*Q",$G33,_xll.ICEFldID(P$30))</f>
        <v>1340</v>
      </c>
      <c r="Q33" s="13">
        <f>RTD("ice.xl",,"*OBSTE",$H$26,"-3")</f>
        <v>130</v>
      </c>
      <c r="R33" s="13" t="str">
        <f>RTD("ice.xl",,"*OBSYE",$H$26,"P",$Q33)</f>
        <v>O:IBM 22M130.00D28</v>
      </c>
      <c r="S33" s="13">
        <f>RTD("ice.xl",,"*Q",$R33,_xll.ICEFldID(S$30))</f>
        <v>0.31</v>
      </c>
      <c r="T33" s="13">
        <f>RTD("ice.xl",,"*Q",$R33,_xll.ICEFldID(T$30))</f>
        <v>0.38</v>
      </c>
      <c r="U33" s="13">
        <f>RTD("ice.xl",,"*Q",$R33,_xll.ICEFldID(U$30))</f>
        <v>0.54</v>
      </c>
      <c r="V33" s="1">
        <f>RTD("ice.xl",,"*Q",$R33,_xll.ICEFldID(V$30))</f>
        <v>0.16</v>
      </c>
      <c r="W33" s="1">
        <f>RTD("ice.xl",,"*Q",$R33,_xll.ICEFldID(W$30))</f>
        <v>0.36</v>
      </c>
      <c r="X33" s="1">
        <f>RTD("ice.xl",,"*Q",$R33,_xll.ICEFldID(X$30))</f>
        <v>-0.04</v>
      </c>
      <c r="Y33" s="83">
        <f>RTD("ice.xl",,"*Q",$R33,_xll.ICEFldID(Y$30))</f>
        <v>44588.634525462963</v>
      </c>
      <c r="Z33" s="1">
        <f>RTD("ice.xl",,"*Q",$R33,_xll.ICEFldID(Z$30))</f>
        <v>1280</v>
      </c>
      <c r="AA33" s="1">
        <f>RTD("ice.xl",,"*Q",$R33,_xll.ICEFldID(AA$30))</f>
        <v>1634</v>
      </c>
    </row>
    <row r="34" spans="1:37" x14ac:dyDescent="0.2">
      <c r="G34" s="13" t="str">
        <f>RTD("ice.xl",,"*OBSYE",$H$26,"C",$Q34)</f>
        <v>O:IBM 22A131.00D28</v>
      </c>
      <c r="H34" s="13">
        <f>RTD("ice.xl",,"*Q",$G34,_xll.ICEFldID(H$30))</f>
        <v>2.02</v>
      </c>
      <c r="I34" s="13">
        <f>RTD("ice.xl",,"*Q",$G34,_xll.ICEFldID(I$30))</f>
        <v>2.36</v>
      </c>
      <c r="J34" s="13">
        <f>RTD("ice.xl",,"*Q",$G34,_xll.ICEFldID(J$30))</f>
        <v>3.9</v>
      </c>
      <c r="K34" s="13">
        <f>RTD("ice.xl",,"*Q",$G34,_xll.ICEFldID(K$30))</f>
        <v>2.09</v>
      </c>
      <c r="L34" s="13">
        <f>RTD("ice.xl",,"*Q",$G34,_xll.ICEFldID(L$30))</f>
        <v>2.4500000000000002</v>
      </c>
      <c r="M34" s="13">
        <f>RTD("ice.xl",,"*Q",$G34,_xll.ICEFldID(M$30))</f>
        <v>-1.31</v>
      </c>
      <c r="N34" s="82">
        <f>RTD("ice.xl",,"*Q",$G34,_xll.ICEFldID(N$30))</f>
        <v>44588.634247685186</v>
      </c>
      <c r="O34" s="13">
        <f>RTD("ice.xl",,"*Q",$G34,_xll.ICEFldID(O$30))</f>
        <v>79</v>
      </c>
      <c r="P34" s="13">
        <f>RTD("ice.xl",,"*Q",$G34,_xll.ICEFldID(P$30))</f>
        <v>519</v>
      </c>
      <c r="Q34" s="13">
        <f>RTD("ice.xl",,"*OBSTE",$H$26,"-2")</f>
        <v>131</v>
      </c>
      <c r="R34" s="13" t="str">
        <f>RTD("ice.xl",,"*OBSYE",$H$26,"P",$Q34)</f>
        <v>O:IBM 22M131.00D28</v>
      </c>
      <c r="S34" s="13">
        <f>RTD("ice.xl",,"*Q",$R34,_xll.ICEFldID(S$30))</f>
        <v>0.5</v>
      </c>
      <c r="T34" s="13">
        <f>RTD("ice.xl",,"*Q",$R34,_xll.ICEFldID(T$30))</f>
        <v>0.62</v>
      </c>
      <c r="U34" s="13">
        <f>RTD("ice.xl",,"*Q",$R34,_xll.ICEFldID(U$30))</f>
        <v>0.81</v>
      </c>
      <c r="V34" s="1">
        <f>RTD("ice.xl",,"*Q",$R34,_xll.ICEFldID(V$30))</f>
        <v>0.3</v>
      </c>
      <c r="W34" s="1">
        <f>RTD("ice.xl",,"*Q",$R34,_xll.ICEFldID(W$30))</f>
        <v>0.48</v>
      </c>
      <c r="X34" s="1">
        <f>RTD("ice.xl",,"*Q",$R34,_xll.ICEFldID(X$30))</f>
        <v>-0.14000000000000001</v>
      </c>
      <c r="Y34" s="83">
        <f>RTD("ice.xl",,"*Q",$R34,_xll.ICEFldID(Y$30))</f>
        <v>44588.634525462963</v>
      </c>
      <c r="Z34" s="1">
        <f>RTD("ice.xl",,"*Q",$R34,_xll.ICEFldID(Z$30))</f>
        <v>408</v>
      </c>
      <c r="AA34" s="1">
        <f>RTD("ice.xl",,"*Q",$R34,_xll.ICEFldID(AA$30))</f>
        <v>831</v>
      </c>
    </row>
    <row r="35" spans="1:37" s="1" customFormat="1" ht="15" customHeight="1" x14ac:dyDescent="0.2">
      <c r="A35" s="58"/>
      <c r="B35" s="58"/>
      <c r="C35" s="58"/>
      <c r="D35" s="58"/>
      <c r="E35" s="58"/>
      <c r="G35" s="1" t="str">
        <f>RTD("ice.xl",,"*OBSYE",$H$26,"C",$Q35)</f>
        <v>O:IBM 22A132.00D28</v>
      </c>
      <c r="H35" s="1">
        <f>RTD("ice.xl",,"*Q",$G35,_xll.ICEFldID(H$30))</f>
        <v>1.3</v>
      </c>
      <c r="I35" s="1">
        <f>RTD("ice.xl",,"*Q",$G35,_xll.ICEFldID(I$30))</f>
        <v>1.58</v>
      </c>
      <c r="J35" s="1">
        <f>RTD("ice.xl",,"*Q",$G35,_xll.ICEFldID(J$30))</f>
        <v>2.93</v>
      </c>
      <c r="K35" s="1">
        <f>RTD("ice.xl",,"*Q",$G35,_xll.ICEFldID(K$30))</f>
        <v>1.34</v>
      </c>
      <c r="L35" s="1">
        <f>RTD("ice.xl",,"*Q",$G35,_xll.ICEFldID(L$30))</f>
        <v>1.62</v>
      </c>
      <c r="M35" s="1">
        <f>RTD("ice.xl",,"*Q",$G35,_xll.ICEFldID(M$30))</f>
        <v>-1.63</v>
      </c>
      <c r="N35" s="83">
        <f>RTD("ice.xl",,"*Q",$G35,_xll.ICEFldID(N$30))</f>
        <v>44588.634247685186</v>
      </c>
      <c r="O35" s="1">
        <f>RTD("ice.xl",,"*Q",$G35,_xll.ICEFldID(O$30))</f>
        <v>234</v>
      </c>
      <c r="P35" s="1">
        <f>RTD("ice.xl",,"*Q",$G35,_xll.ICEFldID(P$30))</f>
        <v>747</v>
      </c>
      <c r="Q35" s="1">
        <f>RTD("ice.xl",,"*OBSTE",$H$26,"-1")</f>
        <v>132</v>
      </c>
      <c r="R35" s="1" t="str">
        <f>RTD("ice.xl",,"*OBSYE",$H$26,"P",$Q35)</f>
        <v>O:IBM 22M132.00D28</v>
      </c>
      <c r="S35" s="1">
        <f>RTD("ice.xl",,"*Q",$R35,_xll.ICEFldID(S$30))</f>
        <v>0.85</v>
      </c>
      <c r="T35" s="1">
        <f>RTD("ice.xl",,"*Q",$R35,_xll.ICEFldID(T$30))</f>
        <v>0.93</v>
      </c>
      <c r="U35" s="1">
        <f>RTD("ice.xl",,"*Q",$R35,_xll.ICEFldID(U$30))</f>
        <v>1.17</v>
      </c>
      <c r="V35" s="1">
        <f>RTD("ice.xl",,"*Q",$R35,_xll.ICEFldID(V$30))</f>
        <v>0.36</v>
      </c>
      <c r="W35" s="1">
        <f>RTD("ice.xl",,"*Q",$R35,_xll.ICEFldID(W$30))</f>
        <v>0.86</v>
      </c>
      <c r="X35" s="1">
        <f>RTD("ice.xl",,"*Q",$R35,_xll.ICEFldID(X$30))</f>
        <v>0.01</v>
      </c>
      <c r="Y35" s="83">
        <f>RTD("ice.xl",,"*Q",$R35,_xll.ICEFldID(Y$30))</f>
        <v>44588.634525462963</v>
      </c>
      <c r="Z35" s="1">
        <f>RTD("ice.xl",,"*Q",$R35,_xll.ICEFldID(Z$30))</f>
        <v>501</v>
      </c>
      <c r="AA35" s="1">
        <f>RTD("ice.xl",,"*Q",$R35,_xll.ICEFldID(AA$30))</f>
        <v>835</v>
      </c>
      <c r="AG35" s="2"/>
      <c r="AH35" s="2"/>
      <c r="AI35" s="2"/>
      <c r="AJ35" s="2"/>
      <c r="AK35" s="2"/>
    </row>
    <row r="36" spans="1:37" x14ac:dyDescent="0.2">
      <c r="G36" s="1" t="str">
        <f>RTD("ice.xl",,"*OBSYE",$H$26,"C",$Q36)</f>
        <v>O:IBM 22A133.00D28</v>
      </c>
      <c r="H36" s="1">
        <f>RTD("ice.xl",,"*Q",$G36,_xll.ICEFldID(H$30))</f>
        <v>0.81</v>
      </c>
      <c r="I36" s="1">
        <f>RTD("ice.xl",,"*Q",$G36,_xll.ICEFldID(I$30))</f>
        <v>0.94</v>
      </c>
      <c r="J36" s="1">
        <f>RTD("ice.xl",,"*Q",$G36,_xll.ICEFldID(J$30))</f>
        <v>2.2999999999999998</v>
      </c>
      <c r="K36" s="1">
        <f>RTD("ice.xl",,"*Q",$G36,_xll.ICEFldID(K$30))</f>
        <v>0.89</v>
      </c>
      <c r="L36" s="1">
        <f>RTD("ice.xl",,"*Q",$G36,_xll.ICEFldID(L$30))</f>
        <v>0.9</v>
      </c>
      <c r="M36" s="1">
        <f>RTD("ice.xl",,"*Q",$G36,_xll.ICEFldID(M$30))</f>
        <v>-1.55</v>
      </c>
      <c r="N36" s="83">
        <f>RTD("ice.xl",,"*Q",$G36,_xll.ICEFldID(N$30))</f>
        <v>44588.634247685186</v>
      </c>
      <c r="O36" s="1">
        <f>RTD("ice.xl",,"*Q",$G36,_xll.ICEFldID(O$30))</f>
        <v>463</v>
      </c>
      <c r="P36" s="1">
        <f>RTD("ice.xl",,"*Q",$G36,_xll.ICEFldID(P$30))</f>
        <v>1088</v>
      </c>
      <c r="Q36" s="1">
        <f>RTD("ice.xl",,"*OBSTE",$H$26,"0")</f>
        <v>133</v>
      </c>
      <c r="R36" s="1" t="str">
        <f>RTD("ice.xl",,"*OBSYE",$H$26,"P",$Q36)</f>
        <v>O:IBM 22M133.00D28</v>
      </c>
      <c r="S36" s="1">
        <f>RTD("ice.xl",,"*Q",$R36,_xll.ICEFldID(S$30))</f>
        <v>1.24</v>
      </c>
      <c r="T36" s="1">
        <f>RTD("ice.xl",,"*Q",$R36,_xll.ICEFldID(T$30))</f>
        <v>1.49</v>
      </c>
      <c r="U36" s="1">
        <f>RTD("ice.xl",,"*Q",$R36,_xll.ICEFldID(U$30))</f>
        <v>1.75</v>
      </c>
      <c r="V36" s="1">
        <f>RTD("ice.xl",,"*Q",$R36,_xll.ICEFldID(V$30))</f>
        <v>0.56000000000000005</v>
      </c>
      <c r="W36" s="1">
        <f>RTD("ice.xl",,"*Q",$R36,_xll.ICEFldID(W$30))</f>
        <v>1.35</v>
      </c>
      <c r="X36" s="1">
        <f>RTD("ice.xl",,"*Q",$R36,_xll.ICEFldID(X$30))</f>
        <v>-0.09</v>
      </c>
      <c r="Y36" s="83">
        <f>RTD("ice.xl",,"*Q",$R36,_xll.ICEFldID(Y$30))</f>
        <v>44588.634525462963</v>
      </c>
      <c r="Z36" s="1">
        <f>RTD("ice.xl",,"*Q",$R36,_xll.ICEFldID(Z$30))</f>
        <v>598</v>
      </c>
      <c r="AA36" s="1">
        <f>RTD("ice.xl",,"*Q",$R36,_xll.ICEFldID(AA$30))</f>
        <v>484</v>
      </c>
    </row>
    <row r="37" spans="1:37" x14ac:dyDescent="0.2">
      <c r="G37" s="1" t="str">
        <f>RTD("ice.xl",,"*OBSYE",$H$26,"C",$Q37)</f>
        <v>O:IBM 22A134.00D28</v>
      </c>
      <c r="H37" s="1">
        <f>RTD("ice.xl",,"*Q",$G37,_xll.ICEFldID(H$30))</f>
        <v>0.48</v>
      </c>
      <c r="I37" s="1">
        <f>RTD("ice.xl",,"*Q",$G37,_xll.ICEFldID(I$30))</f>
        <v>0.57999999999999996</v>
      </c>
      <c r="J37" s="1">
        <f>RTD("ice.xl",,"*Q",$G37,_xll.ICEFldID(J$30))</f>
        <v>1.7</v>
      </c>
      <c r="K37" s="1">
        <f>RTD("ice.xl",,"*Q",$G37,_xll.ICEFldID(K$30))</f>
        <v>0.52</v>
      </c>
      <c r="L37" s="1">
        <f>RTD("ice.xl",,"*Q",$G37,_xll.ICEFldID(L$30))</f>
        <v>0.6</v>
      </c>
      <c r="M37" s="1">
        <f>RTD("ice.xl",,"*Q",$G37,_xll.ICEFldID(M$30))</f>
        <v>-1.07</v>
      </c>
      <c r="N37" s="83">
        <f>RTD("ice.xl",,"*Q",$G37,_xll.ICEFldID(N$30))</f>
        <v>44588.634247685186</v>
      </c>
      <c r="O37" s="1">
        <f>RTD("ice.xl",,"*Q",$G37,_xll.ICEFldID(O$30))</f>
        <v>594</v>
      </c>
      <c r="P37" s="1">
        <f>RTD("ice.xl",,"*Q",$G37,_xll.ICEFldID(P$30))</f>
        <v>2170</v>
      </c>
      <c r="Q37" s="1">
        <f>RTD("ice.xl",,"*OBSTE",$H$26,"1")</f>
        <v>134</v>
      </c>
      <c r="R37" s="1" t="str">
        <f>RTD("ice.xl",,"*OBSYE",$H$26,"P",$Q37)</f>
        <v>O:IBM 22M134.00D28</v>
      </c>
      <c r="S37" s="1">
        <f>RTD("ice.xl",,"*Q",$R37,_xll.ICEFldID(S$30))</f>
        <v>1.64</v>
      </c>
      <c r="T37" s="1">
        <f>RTD("ice.xl",,"*Q",$R37,_xll.ICEFldID(T$30))</f>
        <v>2.1</v>
      </c>
      <c r="U37" s="1">
        <f>RTD("ice.xl",,"*Q",$R37,_xll.ICEFldID(U$30))</f>
        <v>2.4</v>
      </c>
      <c r="V37" s="1">
        <f>RTD("ice.xl",,"*Q",$R37,_xll.ICEFldID(V$30))</f>
        <v>0.86</v>
      </c>
      <c r="W37" s="1">
        <f>RTD("ice.xl",,"*Q",$R37,_xll.ICEFldID(W$30))</f>
        <v>1.7</v>
      </c>
      <c r="X37" s="1">
        <f>RTD("ice.xl",,"*Q",$R37,_xll.ICEFldID(X$30))</f>
        <v>0.17</v>
      </c>
      <c r="Y37" s="83">
        <f>RTD("ice.xl",,"*Q",$R37,_xll.ICEFldID(Y$30))</f>
        <v>44588.634525462963</v>
      </c>
      <c r="Z37" s="1">
        <f>RTD("ice.xl",,"*Q",$R37,_xll.ICEFldID(Z$30))</f>
        <v>703</v>
      </c>
      <c r="AA37" s="1">
        <f>RTD("ice.xl",,"*Q",$R37,_xll.ICEFldID(AA$30))</f>
        <v>547</v>
      </c>
    </row>
    <row r="38" spans="1:37" s="1" customFormat="1" ht="15" x14ac:dyDescent="0.25">
      <c r="A38" s="58"/>
      <c r="B38" s="58"/>
      <c r="C38" s="58"/>
      <c r="D38" s="58"/>
      <c r="E38" s="58"/>
      <c r="G38" s="45" t="str">
        <f>RTD("ice.xl",,"*OBSYE",$H$26,"C",$Q38)</f>
        <v>O:IBM 22A135.00D28</v>
      </c>
      <c r="H38" s="6">
        <f>RTD("ice.xl",,"*Q",$G38,_xll.ICEFldID(H$30))</f>
        <v>0.27</v>
      </c>
      <c r="I38" s="6">
        <f>RTD("ice.xl",,"*Q",$G38,_xll.ICEFldID(I$30))</f>
        <v>0.31</v>
      </c>
      <c r="J38" s="6">
        <f>RTD("ice.xl",,"*Q",$G38,_xll.ICEFldID(J$30))</f>
        <v>1.18</v>
      </c>
      <c r="K38" s="6">
        <f>RTD("ice.xl",,"*Q",$G38,_xll.ICEFldID(K$30))</f>
        <v>0.28999999999999998</v>
      </c>
      <c r="L38" s="6">
        <f>RTD("ice.xl",,"*Q",$G38,_xll.ICEFldID(L$30))</f>
        <v>0.35</v>
      </c>
      <c r="M38" s="6">
        <f>RTD("ice.xl",,"*Q",$G38,_xll.ICEFldID(M$30))</f>
        <v>-1.01</v>
      </c>
      <c r="N38" s="84">
        <f>RTD("ice.xl",,"*Q",$G38,_xll.ICEFldID(N$30))</f>
        <v>44588.634247685186</v>
      </c>
      <c r="O38" s="6">
        <f>RTD("ice.xl",,"*Q",$G38,_xll.ICEFldID(O$30))</f>
        <v>1036</v>
      </c>
      <c r="P38" s="6">
        <f>RTD("ice.xl",,"*Q",$G38,_xll.ICEFldID(P$30))</f>
        <v>2878</v>
      </c>
      <c r="Q38" s="6">
        <f>RTD("ice.xl",,"*OBSTE",$H$26,"2")</f>
        <v>135</v>
      </c>
      <c r="R38" s="6" t="str">
        <f>RTD("ice.xl",,"*OBSYE",$H$26,"P",$Q38)</f>
        <v>O:IBM 22M135.00D28</v>
      </c>
      <c r="S38" s="6">
        <f>RTD("ice.xl",,"*Q",$R38,_xll.ICEFldID(S$30))</f>
        <v>2.5</v>
      </c>
      <c r="T38" s="6">
        <f>RTD("ice.xl",,"*Q",$R38,_xll.ICEFldID(T$30))</f>
        <v>2.82</v>
      </c>
      <c r="U38" s="6">
        <f>RTD("ice.xl",,"*Q",$R38,_xll.ICEFldID(U$30))</f>
        <v>3</v>
      </c>
      <c r="V38" s="6">
        <f>RTD("ice.xl",,"*Q",$R38,_xll.ICEFldID(V$30))</f>
        <v>1.3</v>
      </c>
      <c r="W38" s="6">
        <f>RTD("ice.xl",,"*Q",$R38,_xll.ICEFldID(W$30))</f>
        <v>2.34</v>
      </c>
      <c r="X38" s="6">
        <f>RTD("ice.xl",,"*Q",$R38,_xll.ICEFldID(X$30))</f>
        <v>0.37</v>
      </c>
      <c r="Y38" s="84">
        <f>RTD("ice.xl",,"*Q",$R38,_xll.ICEFldID(Y$30))</f>
        <v>44588.634525462963</v>
      </c>
      <c r="Z38" s="1">
        <f>RTD("ice.xl",,"*Q",$R38,_xll.ICEFldID(Z$30))</f>
        <v>370</v>
      </c>
      <c r="AA38" s="1">
        <f>RTD("ice.xl",,"*Q",$R38,_xll.ICEFldID(AA$30))</f>
        <v>1776</v>
      </c>
      <c r="AG38" s="2"/>
      <c r="AH38" s="2"/>
      <c r="AI38" s="2"/>
      <c r="AJ38" s="2"/>
      <c r="AK38" s="2"/>
    </row>
    <row r="39" spans="1:37" ht="15" x14ac:dyDescent="0.25">
      <c r="G39" s="6" t="str">
        <f>RTD("ice.xl",,"*OBSYE",$H$26,"C",$Q39)</f>
        <v>O:IBM 22A136.00D28</v>
      </c>
      <c r="H39" s="1">
        <f>RTD("ice.xl",,"*Q",$G39,_xll.ICEFldID(H$30))</f>
        <v>0.14000000000000001</v>
      </c>
      <c r="I39" s="1">
        <f>RTD("ice.xl",,"*Q",$G39,_xll.ICEFldID(I$30))</f>
        <v>0.18</v>
      </c>
      <c r="J39" s="1">
        <f>RTD("ice.xl",,"*Q",$G39,_xll.ICEFldID(J$30))</f>
        <v>0.9</v>
      </c>
      <c r="K39" s="1">
        <f>RTD("ice.xl",,"*Q",$G39,_xll.ICEFldID(K$30))</f>
        <v>0.15</v>
      </c>
      <c r="L39" s="1">
        <f>RTD("ice.xl",,"*Q",$G39,_xll.ICEFldID(L$30))</f>
        <v>0.15</v>
      </c>
      <c r="M39" s="1">
        <f>RTD("ice.xl",,"*Q",$G39,_xll.ICEFldID(M$30))</f>
        <v>-0.8</v>
      </c>
      <c r="N39" s="83">
        <f>RTD("ice.xl",,"*Q",$G39,_xll.ICEFldID(N$30))</f>
        <v>44588.634247685186</v>
      </c>
      <c r="O39" s="1">
        <f>RTD("ice.xl",,"*Q",$G39,_xll.ICEFldID(O$30))</f>
        <v>446</v>
      </c>
      <c r="P39" s="1">
        <f>RTD("ice.xl",,"*Q",$G39,_xll.ICEFldID(P$30))</f>
        <v>1186</v>
      </c>
      <c r="Q39" s="1">
        <f>RTD("ice.xl",,"*OBSTE",$H$26,"3")</f>
        <v>136</v>
      </c>
      <c r="R39" s="1" t="str">
        <f>RTD("ice.xl",,"*OBSYE",$H$26,"P",$Q39)</f>
        <v>O:IBM 22M136.00D28</v>
      </c>
      <c r="S39" s="1">
        <f>RTD("ice.xl",,"*Q",$R39,_xll.ICEFldID(S$30))</f>
        <v>3.4</v>
      </c>
      <c r="T39" s="1">
        <f>RTD("ice.xl",,"*Q",$R39,_xll.ICEFldID(T$30))</f>
        <v>3.8</v>
      </c>
      <c r="U39" s="1">
        <f>RTD("ice.xl",,"*Q",$R39,_xll.ICEFldID(U$30))</f>
        <v>3.75</v>
      </c>
      <c r="V39" s="1">
        <f>RTD("ice.xl",,"*Q",$R39,_xll.ICEFldID(V$30))</f>
        <v>1.88</v>
      </c>
      <c r="W39" s="1">
        <f>RTD("ice.xl",,"*Q",$R39,_xll.ICEFldID(W$30))</f>
        <v>3.4</v>
      </c>
      <c r="X39" s="1">
        <f>RTD("ice.xl",,"*Q",$R39,_xll.ICEFldID(X$30))</f>
        <v>0.7</v>
      </c>
      <c r="Y39" s="83">
        <f>RTD("ice.xl",,"*Q",$R39,_xll.ICEFldID(Y$30))</f>
        <v>44588.634525462963</v>
      </c>
      <c r="Z39" s="1">
        <f>RTD("ice.xl",,"*Q",$R39,_xll.ICEFldID(Z$30))</f>
        <v>224</v>
      </c>
      <c r="AA39" s="1">
        <f>RTD("ice.xl",,"*Q",$R39,_xll.ICEFldID(AA$30))</f>
        <v>482</v>
      </c>
    </row>
    <row r="40" spans="1:37" s="3" customFormat="1" ht="15" customHeight="1" x14ac:dyDescent="0.2">
      <c r="A40" s="58"/>
      <c r="B40" s="58"/>
      <c r="C40" s="58"/>
      <c r="D40" s="58"/>
      <c r="E40" s="58"/>
      <c r="F40" s="1"/>
      <c r="G40" s="1" t="str">
        <f>RTD("ice.xl",,"*OBSYE",$H$26,"C",$Q40)</f>
        <v>O:IBM 22A137.00D28</v>
      </c>
      <c r="H40" s="1">
        <f>RTD("ice.xl",,"*Q",$G40,_xll.ICEFldID(H$30))</f>
        <v>7.0000000000000007E-2</v>
      </c>
      <c r="I40" s="1">
        <f>RTD("ice.xl",,"*Q",$G40,_xll.ICEFldID(I$30))</f>
        <v>0.1</v>
      </c>
      <c r="J40" s="1">
        <f>RTD("ice.xl",,"*Q",$G40,_xll.ICEFldID(J$30))</f>
        <v>0.5</v>
      </c>
      <c r="K40" s="1">
        <f>RTD("ice.xl",,"*Q",$G40,_xll.ICEFldID(K$30))</f>
        <v>0.08</v>
      </c>
      <c r="L40" s="1">
        <f>RTD("ice.xl",,"*Q",$G40,_xll.ICEFldID(L$30))</f>
        <v>0.08</v>
      </c>
      <c r="M40" s="1">
        <f>RTD("ice.xl",,"*Q",$G40,_xll.ICEFldID(M$30))</f>
        <v>-0.57999999999999996</v>
      </c>
      <c r="N40" s="83">
        <f>RTD("ice.xl",,"*Q",$G40,_xll.ICEFldID(N$30))</f>
        <v>44588.634259259263</v>
      </c>
      <c r="O40" s="1">
        <f>RTD("ice.xl",,"*Q",$G40,_xll.ICEFldID(O$30))</f>
        <v>838</v>
      </c>
      <c r="P40" s="1">
        <f>RTD("ice.xl",,"*Q",$G40,_xll.ICEFldID(P$30))</f>
        <v>1234</v>
      </c>
      <c r="Q40" s="1">
        <f>RTD("ice.xl",,"*OBSTE",$H$26,"4")</f>
        <v>137</v>
      </c>
      <c r="R40" s="1" t="str">
        <f>RTD("ice.xl",,"*OBSYE",$H$26,"P",$Q40)</f>
        <v>O:IBM 22M137.00D28</v>
      </c>
      <c r="S40" s="1">
        <f>RTD("ice.xl",,"*Q",$R40,_xll.ICEFldID(S$30))</f>
        <v>4.3499999999999996</v>
      </c>
      <c r="T40" s="1">
        <f>RTD("ice.xl",,"*Q",$R40,_xll.ICEFldID(T$30))</f>
        <v>4.8499999999999996</v>
      </c>
      <c r="U40" s="1">
        <f>RTD("ice.xl",,"*Q",$R40,_xll.ICEFldID(U$30))</f>
        <v>4.5999999999999996</v>
      </c>
      <c r="V40" s="1">
        <f>RTD("ice.xl",,"*Q",$R40,_xll.ICEFldID(V$30))</f>
        <v>3.26</v>
      </c>
      <c r="W40" s="1">
        <f>RTD("ice.xl",,"*Q",$R40,_xll.ICEFldID(W$30))</f>
        <v>4.05</v>
      </c>
      <c r="X40" s="1">
        <f>RTD("ice.xl",,"*Q",$R40,_xll.ICEFldID(X$30))</f>
        <v>0.95</v>
      </c>
      <c r="Y40" s="83">
        <f>RTD("ice.xl",,"*Q",$R40,_xll.ICEFldID(Y$30))</f>
        <v>44588.63453703704</v>
      </c>
      <c r="Z40" s="1">
        <f>RTD("ice.xl",,"*Q",$R40,_xll.ICEFldID(Z$30))</f>
        <v>12</v>
      </c>
      <c r="AA40" s="1">
        <f>RTD("ice.xl",,"*Q",$R40,_xll.ICEFldID(AA$30))</f>
        <v>185</v>
      </c>
      <c r="AB40" s="1"/>
      <c r="AC40" s="1"/>
      <c r="AD40" s="1"/>
      <c r="AE40" s="1"/>
      <c r="AF40" s="1"/>
      <c r="AG40" s="2"/>
      <c r="AH40" s="2"/>
      <c r="AI40" s="2"/>
      <c r="AJ40" s="2"/>
      <c r="AK40" s="2"/>
    </row>
  </sheetData>
  <mergeCells count="9">
    <mergeCell ref="G29:P29"/>
    <mergeCell ref="R29:AA29"/>
    <mergeCell ref="B5:D5"/>
    <mergeCell ref="B7:D7"/>
    <mergeCell ref="B8:D10"/>
    <mergeCell ref="B11:D15"/>
    <mergeCell ref="M2:P2"/>
    <mergeCell ref="G11:M11"/>
    <mergeCell ref="O11:U11"/>
  </mergeCells>
  <pageMargins left="0.7" right="0.7" top="0.75" bottom="0.75" header="0.3" footer="0.3"/>
  <pageSetup orientation="landscape"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AG37"/>
  <sheetViews>
    <sheetView workbookViewId="0">
      <selection activeCell="M22" sqref="M22"/>
    </sheetView>
  </sheetViews>
  <sheetFormatPr defaultColWidth="7.5546875" defaultRowHeight="14.25" x14ac:dyDescent="0.2"/>
  <cols>
    <col min="1" max="1" width="7.88671875" style="1" customWidth="1"/>
    <col min="2" max="3" width="7.5546875" style="1"/>
    <col min="4" max="4" width="18.21875" style="1" bestFit="1" customWidth="1"/>
    <col min="5" max="8" width="7.5546875" style="1" customWidth="1"/>
    <col min="9" max="9" width="9.5546875" style="1" bestFit="1" customWidth="1"/>
    <col min="10" max="13" width="7.5546875" style="1" customWidth="1"/>
    <col min="14" max="14" width="9.5546875" style="1" bestFit="1" customWidth="1"/>
    <col min="15" max="16" width="9.88671875" style="1" customWidth="1"/>
    <col min="17" max="17" width="10.88671875" style="1" customWidth="1"/>
    <col min="18" max="19" width="7.5546875" style="1" customWidth="1"/>
    <col min="20" max="28" width="7.5546875" style="1"/>
    <col min="29" max="16384" width="7.5546875" style="2"/>
  </cols>
  <sheetData>
    <row r="1" spans="1:33" x14ac:dyDescent="0.2">
      <c r="A1" s="12"/>
    </row>
    <row r="2" spans="1:33" ht="20.25" x14ac:dyDescent="0.3">
      <c r="A2" s="12"/>
      <c r="I2" s="52" t="s">
        <v>59</v>
      </c>
      <c r="J2" s="52"/>
      <c r="K2" s="52"/>
      <c r="L2" s="52"/>
      <c r="AB2" s="2"/>
    </row>
    <row r="3" spans="1:33" x14ac:dyDescent="0.2">
      <c r="A3" s="12"/>
    </row>
    <row r="4" spans="1:33" ht="6.75" customHeight="1" x14ac:dyDescent="0.2">
      <c r="A4" s="12"/>
    </row>
    <row r="5" spans="1:33" x14ac:dyDescent="0.2">
      <c r="B5" s="13"/>
      <c r="C5" s="13"/>
      <c r="D5" s="13"/>
      <c r="E5" s="13"/>
      <c r="F5" s="13"/>
      <c r="G5" s="13"/>
      <c r="H5" s="13"/>
      <c r="I5" s="13"/>
      <c r="J5" s="13"/>
      <c r="K5" s="13"/>
      <c r="L5" s="13"/>
      <c r="M5" s="13"/>
      <c r="N5" s="13"/>
      <c r="O5" s="13"/>
      <c r="P5" s="13"/>
      <c r="Q5" s="13"/>
      <c r="R5" s="13"/>
    </row>
    <row r="6" spans="1:33" s="1" customFormat="1" ht="15" x14ac:dyDescent="0.25">
      <c r="B6" s="13"/>
      <c r="C6" s="13"/>
      <c r="D6" s="22"/>
      <c r="E6" s="22"/>
      <c r="F6" s="22"/>
      <c r="G6" s="22"/>
      <c r="H6" s="13"/>
      <c r="I6" s="22"/>
      <c r="J6" s="22"/>
      <c r="K6" s="22"/>
      <c r="L6" s="22"/>
      <c r="M6" s="13"/>
      <c r="N6" s="22"/>
      <c r="O6" s="22"/>
      <c r="P6" s="22"/>
      <c r="Q6" s="22"/>
      <c r="R6" s="13"/>
      <c r="AC6" s="2"/>
      <c r="AD6" s="2"/>
      <c r="AE6" s="2"/>
      <c r="AF6" s="2"/>
      <c r="AG6" s="2"/>
    </row>
    <row r="7" spans="1:33" s="1" customFormat="1" ht="15" x14ac:dyDescent="0.25">
      <c r="B7" s="13"/>
      <c r="C7" s="13"/>
      <c r="D7" s="14"/>
      <c r="E7" s="15"/>
      <c r="F7" s="15"/>
      <c r="G7" s="15"/>
      <c r="H7" s="13"/>
      <c r="I7" s="14"/>
      <c r="J7" s="15"/>
      <c r="K7" s="15"/>
      <c r="L7" s="15"/>
      <c r="M7" s="13"/>
      <c r="N7" s="14"/>
      <c r="O7" s="16"/>
      <c r="P7" s="16"/>
      <c r="Q7" s="16"/>
      <c r="R7" s="13"/>
      <c r="AC7" s="2"/>
      <c r="AD7" s="2"/>
      <c r="AE7" s="2"/>
      <c r="AF7" s="2"/>
      <c r="AG7" s="2"/>
    </row>
    <row r="8" spans="1:33" s="1" customFormat="1" ht="15" x14ac:dyDescent="0.25">
      <c r="B8" s="13"/>
      <c r="C8" s="13"/>
      <c r="D8" s="15" t="s">
        <v>60</v>
      </c>
      <c r="E8" s="13"/>
      <c r="F8" s="13"/>
      <c r="G8" s="13"/>
      <c r="H8" s="13"/>
      <c r="I8" s="15"/>
      <c r="J8" s="13"/>
      <c r="K8" s="13"/>
      <c r="L8" s="13"/>
      <c r="M8" s="13"/>
      <c r="N8" s="15"/>
      <c r="O8" s="13"/>
      <c r="P8" s="13"/>
      <c r="Q8" s="13"/>
      <c r="R8" s="13"/>
      <c r="AC8" s="2"/>
      <c r="AD8" s="2"/>
      <c r="AE8" s="2"/>
      <c r="AF8" s="2"/>
      <c r="AG8" s="2"/>
    </row>
    <row r="9" spans="1:33" s="1" customFormat="1" ht="15" x14ac:dyDescent="0.25">
      <c r="B9" s="13"/>
      <c r="C9" s="13"/>
      <c r="D9" s="15"/>
      <c r="E9" s="13"/>
      <c r="F9" s="13"/>
      <c r="G9" s="13"/>
      <c r="H9" s="13"/>
      <c r="I9" s="15"/>
      <c r="J9" s="13"/>
      <c r="K9" s="13"/>
      <c r="L9" s="13"/>
      <c r="M9" s="13"/>
      <c r="N9" s="15"/>
      <c r="O9" s="13"/>
      <c r="P9" s="13"/>
      <c r="Q9" s="13"/>
      <c r="R9" s="13"/>
      <c r="AC9" s="2"/>
      <c r="AD9" s="2"/>
      <c r="AE9" s="2"/>
      <c r="AF9" s="2"/>
      <c r="AG9" s="2"/>
    </row>
    <row r="10" spans="1:33" s="1" customFormat="1" ht="15" customHeight="1" x14ac:dyDescent="0.2">
      <c r="B10" s="13"/>
      <c r="C10" s="13"/>
      <c r="D10" s="23" t="s">
        <v>61</v>
      </c>
      <c r="E10" s="13"/>
      <c r="F10" s="13"/>
      <c r="G10" s="13"/>
      <c r="H10" s="13"/>
      <c r="I10" s="13"/>
      <c r="J10" s="13"/>
      <c r="K10" s="13"/>
      <c r="L10" s="13"/>
      <c r="M10" s="13"/>
      <c r="N10" s="13"/>
      <c r="O10" s="13"/>
      <c r="P10" s="13"/>
      <c r="Q10" s="13"/>
      <c r="R10" s="13"/>
      <c r="AC10" s="2"/>
      <c r="AD10" s="2"/>
      <c r="AE10" s="2"/>
      <c r="AF10" s="2"/>
      <c r="AG10" s="2"/>
    </row>
    <row r="11" spans="1:33" s="1" customFormat="1" ht="15" x14ac:dyDescent="0.25">
      <c r="B11" s="13"/>
      <c r="C11" s="13"/>
      <c r="D11" s="22"/>
      <c r="E11" s="22"/>
      <c r="F11" s="22"/>
      <c r="G11" s="22"/>
      <c r="H11" s="13"/>
      <c r="I11" s="22"/>
      <c r="J11" s="22"/>
      <c r="K11" s="22"/>
      <c r="L11" s="22"/>
      <c r="M11" s="13"/>
      <c r="N11" s="22"/>
      <c r="O11" s="22"/>
      <c r="P11" s="22"/>
      <c r="Q11" s="22"/>
      <c r="R11" s="13"/>
      <c r="AC11" s="2"/>
      <c r="AD11" s="2"/>
      <c r="AE11" s="2"/>
      <c r="AF11" s="2"/>
      <c r="AG11" s="2"/>
    </row>
    <row r="12" spans="1:33" s="1" customFormat="1" ht="15" x14ac:dyDescent="0.25">
      <c r="B12" s="13"/>
      <c r="C12" s="13"/>
      <c r="D12" s="23" t="s">
        <v>62</v>
      </c>
      <c r="E12" s="15"/>
      <c r="F12" s="15"/>
      <c r="G12" s="15"/>
      <c r="H12" s="13"/>
      <c r="I12" s="14"/>
      <c r="J12" s="15"/>
      <c r="K12" s="15"/>
      <c r="L12" s="15"/>
      <c r="M12" s="13"/>
      <c r="N12" s="14"/>
      <c r="O12" s="17"/>
      <c r="P12" s="17"/>
      <c r="Q12" s="17"/>
      <c r="R12" s="13"/>
      <c r="AC12" s="2"/>
      <c r="AD12" s="2"/>
      <c r="AE12" s="2"/>
      <c r="AF12" s="2"/>
      <c r="AG12" s="2"/>
    </row>
    <row r="13" spans="1:33" s="1" customFormat="1" ht="15" x14ac:dyDescent="0.25">
      <c r="B13" s="13"/>
      <c r="C13" s="13"/>
      <c r="D13" s="15" t="s">
        <v>63</v>
      </c>
      <c r="E13" s="13"/>
      <c r="F13" s="13"/>
      <c r="G13" s="13"/>
      <c r="H13" s="13"/>
      <c r="I13" s="15"/>
      <c r="J13" s="13"/>
      <c r="K13" s="13"/>
      <c r="L13" s="13"/>
      <c r="M13" s="13"/>
      <c r="N13" s="15"/>
      <c r="O13" s="13"/>
      <c r="P13" s="13"/>
      <c r="Q13" s="13"/>
      <c r="R13" s="13"/>
      <c r="AC13" s="2"/>
      <c r="AD13" s="2"/>
      <c r="AE13" s="2"/>
      <c r="AF13" s="2"/>
      <c r="AG13" s="2"/>
    </row>
    <row r="14" spans="1:33" s="1" customFormat="1" ht="15" x14ac:dyDescent="0.25">
      <c r="B14" s="13"/>
      <c r="C14" s="13"/>
      <c r="D14" s="15"/>
      <c r="E14" s="13"/>
      <c r="F14" s="13"/>
      <c r="G14" s="13"/>
      <c r="H14" s="13"/>
      <c r="I14" s="15"/>
      <c r="J14" s="13"/>
      <c r="K14" s="13"/>
      <c r="L14" s="13"/>
      <c r="M14" s="13"/>
      <c r="N14" s="15"/>
      <c r="O14" s="13"/>
      <c r="P14" s="13"/>
      <c r="Q14" s="13"/>
      <c r="R14" s="13"/>
      <c r="AC14" s="2"/>
      <c r="AD14" s="2"/>
      <c r="AE14" s="2"/>
      <c r="AF14" s="2"/>
      <c r="AG14" s="2"/>
    </row>
    <row r="15" spans="1:33" s="1" customFormat="1" ht="15" customHeight="1" x14ac:dyDescent="0.2">
      <c r="B15" s="13"/>
      <c r="C15" s="13"/>
      <c r="D15" s="23" t="s">
        <v>64</v>
      </c>
      <c r="E15" s="13"/>
      <c r="F15" s="13"/>
      <c r="G15" s="13"/>
      <c r="H15" s="13"/>
      <c r="I15" s="13"/>
      <c r="J15" s="13"/>
      <c r="K15" s="13"/>
      <c r="L15" s="13"/>
      <c r="M15" s="13"/>
      <c r="N15" s="13"/>
      <c r="O15" s="13"/>
      <c r="P15" s="13"/>
      <c r="Q15" s="13"/>
      <c r="R15" s="13"/>
      <c r="AC15" s="2"/>
      <c r="AD15" s="2"/>
      <c r="AE15" s="2"/>
      <c r="AF15" s="2"/>
      <c r="AG15" s="2"/>
    </row>
    <row r="16" spans="1:33" s="1" customFormat="1" ht="15" x14ac:dyDescent="0.25">
      <c r="B16" s="13"/>
      <c r="C16" s="13"/>
      <c r="D16" s="22"/>
      <c r="E16" s="22"/>
      <c r="F16" s="22"/>
      <c r="G16" s="22"/>
      <c r="H16" s="13"/>
      <c r="I16" s="22"/>
      <c r="J16" s="22"/>
      <c r="K16" s="22"/>
      <c r="L16" s="22"/>
      <c r="M16" s="13"/>
      <c r="N16" s="22"/>
      <c r="O16" s="22"/>
      <c r="P16" s="22"/>
      <c r="Q16" s="22"/>
      <c r="R16" s="13"/>
      <c r="AC16" s="2"/>
      <c r="AD16" s="2"/>
      <c r="AE16" s="2"/>
      <c r="AF16" s="2"/>
      <c r="AG16" s="2"/>
    </row>
    <row r="17" spans="2:33" s="1" customFormat="1" ht="15" x14ac:dyDescent="0.25">
      <c r="B17" s="13"/>
      <c r="C17" s="13"/>
      <c r="D17" s="14"/>
      <c r="E17" s="15"/>
      <c r="F17" s="15"/>
      <c r="G17" s="15"/>
      <c r="H17" s="13"/>
      <c r="I17" s="14"/>
      <c r="J17" s="15"/>
      <c r="K17" s="15"/>
      <c r="L17" s="15"/>
      <c r="M17" s="13"/>
      <c r="N17" s="14"/>
      <c r="O17" s="16"/>
      <c r="P17" s="16"/>
      <c r="Q17" s="16"/>
      <c r="R17" s="13"/>
      <c r="AC17" s="2"/>
      <c r="AD17" s="2"/>
      <c r="AE17" s="2"/>
      <c r="AF17" s="2"/>
      <c r="AG17" s="2"/>
    </row>
    <row r="18" spans="2:33" s="1" customFormat="1" ht="15" x14ac:dyDescent="0.25">
      <c r="B18" s="13"/>
      <c r="C18" s="13"/>
      <c r="D18" s="15"/>
      <c r="E18" s="13"/>
      <c r="F18" s="13"/>
      <c r="G18" s="13"/>
      <c r="H18" s="13"/>
      <c r="I18" s="15"/>
      <c r="J18" s="13"/>
      <c r="K18" s="13"/>
      <c r="L18" s="13"/>
      <c r="M18" s="13"/>
      <c r="N18" s="15"/>
      <c r="O18" s="18"/>
      <c r="P18" s="18"/>
      <c r="Q18" s="18"/>
      <c r="R18" s="13"/>
      <c r="AC18" s="2"/>
      <c r="AD18" s="2"/>
      <c r="AE18" s="2"/>
      <c r="AF18" s="2"/>
      <c r="AG18" s="2"/>
    </row>
    <row r="19" spans="2:33" s="1" customFormat="1" ht="15" x14ac:dyDescent="0.25">
      <c r="B19" s="13"/>
      <c r="C19" s="13"/>
      <c r="D19" s="15"/>
      <c r="E19" s="13"/>
      <c r="F19" s="13"/>
      <c r="G19" s="13"/>
      <c r="H19" s="13"/>
      <c r="I19" s="15"/>
      <c r="J19" s="13"/>
      <c r="K19" s="13"/>
      <c r="L19" s="13"/>
      <c r="M19" s="13"/>
      <c r="N19" s="15"/>
      <c r="O19" s="18"/>
      <c r="P19" s="18"/>
      <c r="Q19" s="18"/>
      <c r="R19" s="13"/>
      <c r="AC19" s="2"/>
      <c r="AD19" s="2"/>
      <c r="AE19" s="2"/>
      <c r="AF19" s="2"/>
      <c r="AG19" s="2"/>
    </row>
    <row r="20" spans="2:33" s="1" customFormat="1" ht="15" customHeight="1" x14ac:dyDescent="0.2">
      <c r="B20" s="13"/>
      <c r="C20" s="13"/>
      <c r="D20" s="13"/>
      <c r="E20" s="13"/>
      <c r="F20" s="13"/>
      <c r="G20" s="13"/>
      <c r="H20" s="13"/>
      <c r="I20" s="13"/>
      <c r="J20" s="13"/>
      <c r="K20" s="13"/>
      <c r="L20" s="13"/>
      <c r="M20" s="13"/>
      <c r="N20" s="13"/>
      <c r="O20" s="13"/>
      <c r="P20" s="13"/>
      <c r="Q20" s="13"/>
      <c r="R20" s="13"/>
      <c r="AC20" s="2"/>
      <c r="AD20" s="2"/>
      <c r="AE20" s="2"/>
      <c r="AF20" s="2"/>
      <c r="AG20" s="2"/>
    </row>
    <row r="21" spans="2:33" s="1" customFormat="1" ht="15" x14ac:dyDescent="0.25">
      <c r="B21" s="13"/>
      <c r="C21" s="13"/>
      <c r="D21" s="22"/>
      <c r="E21" s="22"/>
      <c r="F21" s="22"/>
      <c r="G21" s="22"/>
      <c r="H21" s="13"/>
      <c r="I21" s="22"/>
      <c r="J21" s="22"/>
      <c r="K21" s="22"/>
      <c r="L21" s="22"/>
      <c r="M21" s="13"/>
      <c r="N21" s="22"/>
      <c r="O21" s="22"/>
      <c r="P21" s="22"/>
      <c r="Q21" s="22"/>
      <c r="R21" s="13"/>
      <c r="AC21" s="2"/>
      <c r="AD21" s="2"/>
      <c r="AE21" s="2"/>
      <c r="AF21" s="2"/>
      <c r="AG21" s="2"/>
    </row>
    <row r="22" spans="2:33" s="1" customFormat="1" ht="15" x14ac:dyDescent="0.25">
      <c r="B22" s="13"/>
      <c r="C22" s="13"/>
      <c r="D22" s="14"/>
      <c r="E22" s="15"/>
      <c r="F22" s="15"/>
      <c r="G22" s="15"/>
      <c r="H22" s="13"/>
      <c r="I22" s="14"/>
      <c r="J22" s="15"/>
      <c r="K22" s="15"/>
      <c r="L22" s="15"/>
      <c r="M22" s="13"/>
      <c r="N22" s="14"/>
      <c r="O22" s="16"/>
      <c r="P22" s="16"/>
      <c r="Q22" s="16"/>
      <c r="R22" s="13"/>
      <c r="AC22" s="2"/>
      <c r="AD22" s="2"/>
      <c r="AE22" s="2"/>
      <c r="AF22" s="2"/>
      <c r="AG22" s="2"/>
    </row>
    <row r="23" spans="2:33" s="1" customFormat="1" ht="15" x14ac:dyDescent="0.25">
      <c r="B23" s="13"/>
      <c r="C23" s="13"/>
      <c r="D23" s="15"/>
      <c r="E23" s="13"/>
      <c r="F23" s="13"/>
      <c r="G23" s="13"/>
      <c r="H23" s="13"/>
      <c r="I23" s="15"/>
      <c r="J23" s="13"/>
      <c r="K23" s="13"/>
      <c r="L23" s="13"/>
      <c r="M23" s="13"/>
      <c r="N23" s="15"/>
      <c r="O23" s="18"/>
      <c r="P23" s="18"/>
      <c r="Q23" s="18"/>
      <c r="R23" s="13"/>
      <c r="AC23" s="2"/>
      <c r="AD23" s="2"/>
      <c r="AE23" s="2"/>
      <c r="AF23" s="2"/>
      <c r="AG23" s="2"/>
    </row>
    <row r="24" spans="2:33" s="1" customFormat="1" ht="15" x14ac:dyDescent="0.25">
      <c r="B24" s="13"/>
      <c r="C24" s="13"/>
      <c r="D24" s="15"/>
      <c r="E24" s="13"/>
      <c r="F24" s="13"/>
      <c r="G24" s="13"/>
      <c r="H24" s="13"/>
      <c r="I24" s="15"/>
      <c r="J24" s="13"/>
      <c r="K24" s="13"/>
      <c r="L24" s="13"/>
      <c r="M24" s="13"/>
      <c r="N24" s="15"/>
      <c r="O24" s="18"/>
      <c r="P24" s="18"/>
      <c r="Q24" s="18"/>
      <c r="R24" s="13"/>
      <c r="AC24" s="2"/>
      <c r="AD24" s="2"/>
      <c r="AE24" s="2"/>
      <c r="AF24" s="2"/>
      <c r="AG24" s="2"/>
    </row>
    <row r="25" spans="2:33" s="1" customFormat="1" x14ac:dyDescent="0.2">
      <c r="B25" s="13"/>
      <c r="C25" s="13"/>
      <c r="D25" s="13"/>
      <c r="E25" s="13"/>
      <c r="F25" s="13"/>
      <c r="G25" s="13"/>
      <c r="H25" s="13"/>
      <c r="I25" s="13"/>
      <c r="J25" s="13"/>
      <c r="K25" s="13"/>
      <c r="L25" s="13"/>
      <c r="M25" s="13"/>
      <c r="N25" s="13"/>
      <c r="O25" s="13"/>
      <c r="P25" s="13"/>
      <c r="Q25" s="13"/>
      <c r="R25" s="13"/>
      <c r="AC25" s="2"/>
      <c r="AD25" s="2"/>
      <c r="AE25" s="2"/>
      <c r="AF25" s="2"/>
      <c r="AG25" s="2"/>
    </row>
    <row r="32" spans="2:33" s="1" customFormat="1" ht="15" customHeight="1" x14ac:dyDescent="0.2">
      <c r="AC32" s="2"/>
      <c r="AD32" s="2"/>
      <c r="AE32" s="2"/>
      <c r="AF32" s="2"/>
      <c r="AG32" s="2"/>
    </row>
    <row r="35" spans="1:33" s="1" customFormat="1" x14ac:dyDescent="0.2">
      <c r="AC35" s="2"/>
      <c r="AD35" s="2"/>
      <c r="AE35" s="2"/>
      <c r="AF35" s="2"/>
      <c r="AG35" s="2"/>
    </row>
    <row r="37" spans="1:33" s="3" customFormat="1"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2"/>
      <c r="AD37" s="2"/>
      <c r="AE37" s="2"/>
      <c r="AF37" s="2"/>
      <c r="AG37" s="2"/>
    </row>
  </sheetData>
  <mergeCells count="1">
    <mergeCell ref="I2:L2"/>
  </mergeCells>
  <pageMargins left="0.7" right="0.7" top="0.75" bottom="0.75" header="0.3" footer="0.3"/>
  <pageSetup orientation="landscape"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G37"/>
  <sheetViews>
    <sheetView workbookViewId="0">
      <selection activeCell="I19" sqref="I19"/>
    </sheetView>
  </sheetViews>
  <sheetFormatPr defaultColWidth="7.5546875" defaultRowHeight="14.25" x14ac:dyDescent="0.2"/>
  <cols>
    <col min="1" max="1" width="7.88671875" style="1" customWidth="1"/>
    <col min="2" max="3" width="7.5546875" style="1"/>
    <col min="4" max="4" width="18.21875" style="1" bestFit="1" customWidth="1"/>
    <col min="5" max="8" width="7.5546875" style="1" customWidth="1"/>
    <col min="9" max="9" width="9.5546875" style="1" bestFit="1" customWidth="1"/>
    <col min="10" max="13" width="7.5546875" style="1" customWidth="1"/>
    <col min="14" max="14" width="9.5546875" style="1" bestFit="1" customWidth="1"/>
    <col min="15" max="16" width="9.88671875" style="1" customWidth="1"/>
    <col min="17" max="17" width="10.88671875" style="1" customWidth="1"/>
    <col min="18" max="19" width="7.5546875" style="1" customWidth="1"/>
    <col min="20" max="28" width="7.5546875" style="1"/>
    <col min="29" max="16384" width="7.5546875" style="2"/>
  </cols>
  <sheetData>
    <row r="1" spans="1:33" x14ac:dyDescent="0.2">
      <c r="A1" s="12"/>
    </row>
    <row r="2" spans="1:33" ht="20.25" x14ac:dyDescent="0.3">
      <c r="A2" s="12"/>
      <c r="I2" s="52" t="s">
        <v>59</v>
      </c>
      <c r="J2" s="52"/>
      <c r="K2" s="52"/>
      <c r="L2" s="52"/>
      <c r="AB2" s="2"/>
    </row>
    <row r="3" spans="1:33" x14ac:dyDescent="0.2">
      <c r="A3" s="12"/>
    </row>
    <row r="4" spans="1:33" ht="6.75" customHeight="1" x14ac:dyDescent="0.2">
      <c r="A4" s="12"/>
    </row>
    <row r="5" spans="1:33" x14ac:dyDescent="0.2">
      <c r="B5" s="13"/>
      <c r="C5" s="13"/>
      <c r="D5" s="13"/>
      <c r="E5" s="13"/>
      <c r="F5" s="13"/>
      <c r="G5" s="13"/>
      <c r="H5" s="13"/>
      <c r="I5" s="13"/>
      <c r="J5" s="13"/>
      <c r="K5" s="13"/>
      <c r="L5" s="13"/>
      <c r="M5" s="13"/>
      <c r="N5" s="13"/>
      <c r="O5" s="13"/>
      <c r="P5" s="13"/>
      <c r="Q5" s="13"/>
      <c r="R5" s="13"/>
    </row>
    <row r="6" spans="1:33" s="1" customFormat="1" ht="15" x14ac:dyDescent="0.25">
      <c r="B6" s="13"/>
      <c r="C6" s="13"/>
      <c r="D6" s="22"/>
      <c r="E6" s="22"/>
      <c r="F6" s="22"/>
      <c r="G6" s="22"/>
      <c r="H6" s="13"/>
      <c r="I6" s="22"/>
      <c r="J6" s="22"/>
      <c r="K6" s="22"/>
      <c r="L6" s="22"/>
      <c r="M6" s="13"/>
      <c r="N6" s="22"/>
      <c r="O6" s="22"/>
      <c r="P6" s="22"/>
      <c r="Q6" s="22"/>
      <c r="R6" s="13"/>
      <c r="AC6" s="2"/>
      <c r="AD6" s="2"/>
      <c r="AE6" s="2"/>
      <c r="AF6" s="2"/>
      <c r="AG6" s="2"/>
    </row>
    <row r="7" spans="1:33" s="1" customFormat="1" ht="15" x14ac:dyDescent="0.25">
      <c r="B7" s="13"/>
      <c r="C7" s="13"/>
      <c r="D7" s="14"/>
      <c r="E7" s="15"/>
      <c r="F7" s="15"/>
      <c r="G7" s="15"/>
      <c r="H7" s="13"/>
      <c r="I7" s="14"/>
      <c r="J7" s="15"/>
      <c r="K7" s="15"/>
      <c r="L7" s="15"/>
      <c r="M7" s="13"/>
      <c r="N7" s="14"/>
      <c r="O7" s="16"/>
      <c r="P7" s="16"/>
      <c r="Q7" s="16"/>
      <c r="R7" s="13"/>
      <c r="AC7" s="2"/>
      <c r="AD7" s="2"/>
      <c r="AE7" s="2"/>
      <c r="AF7" s="2"/>
      <c r="AG7" s="2"/>
    </row>
    <row r="8" spans="1:33" s="1" customFormat="1" ht="15" x14ac:dyDescent="0.25">
      <c r="B8" s="13"/>
      <c r="C8" s="13"/>
      <c r="D8" s="15"/>
      <c r="E8" s="13"/>
      <c r="F8" s="13"/>
      <c r="G8" s="13"/>
      <c r="H8" s="13"/>
      <c r="I8" s="15"/>
      <c r="J8" s="13"/>
      <c r="K8" s="13"/>
      <c r="L8" s="13"/>
      <c r="M8" s="13"/>
      <c r="N8" s="15"/>
      <c r="O8" s="13"/>
      <c r="P8" s="13"/>
      <c r="Q8" s="13"/>
      <c r="R8" s="13"/>
      <c r="AC8" s="2"/>
      <c r="AD8" s="2"/>
      <c r="AE8" s="2"/>
      <c r="AF8" s="2"/>
      <c r="AG8" s="2"/>
    </row>
    <row r="9" spans="1:33" s="1" customFormat="1" ht="15" x14ac:dyDescent="0.25">
      <c r="B9" s="13"/>
      <c r="C9" s="13"/>
      <c r="D9" s="15"/>
      <c r="E9" s="13"/>
      <c r="F9" s="13"/>
      <c r="G9" s="13"/>
      <c r="H9" s="13"/>
      <c r="I9" s="15"/>
      <c r="J9" s="13"/>
      <c r="K9" s="13"/>
      <c r="L9" s="13"/>
      <c r="M9" s="13"/>
      <c r="N9" s="15"/>
      <c r="O9" s="13"/>
      <c r="P9" s="13"/>
      <c r="Q9" s="13"/>
      <c r="R9" s="13"/>
      <c r="AC9" s="2"/>
      <c r="AD9" s="2"/>
      <c r="AE9" s="2"/>
      <c r="AF9" s="2"/>
      <c r="AG9" s="2"/>
    </row>
    <row r="10" spans="1:33" s="1" customFormat="1" ht="15" customHeight="1" x14ac:dyDescent="0.2">
      <c r="B10" s="13"/>
      <c r="C10" s="13"/>
      <c r="D10" s="13"/>
      <c r="E10" s="23"/>
      <c r="F10" s="13"/>
      <c r="G10" s="13"/>
      <c r="H10" s="13"/>
      <c r="I10" s="13"/>
      <c r="J10" s="13"/>
      <c r="K10" s="13"/>
      <c r="L10" s="13"/>
      <c r="M10" s="13"/>
      <c r="N10" s="13"/>
      <c r="O10" s="13"/>
      <c r="P10" s="13"/>
      <c r="Q10" s="13"/>
      <c r="R10" s="13"/>
      <c r="AC10" s="2"/>
      <c r="AD10" s="2"/>
      <c r="AE10" s="2"/>
      <c r="AF10" s="2"/>
      <c r="AG10" s="2"/>
    </row>
    <row r="11" spans="1:33" s="1" customFormat="1" ht="15" x14ac:dyDescent="0.25">
      <c r="B11" s="13"/>
      <c r="C11" s="13"/>
      <c r="D11" s="22"/>
      <c r="E11" s="22"/>
      <c r="F11" s="22"/>
      <c r="G11" s="22"/>
      <c r="H11" s="13"/>
      <c r="I11" s="22"/>
      <c r="J11" s="22"/>
      <c r="K11" s="22"/>
      <c r="L11" s="22"/>
      <c r="M11" s="13"/>
      <c r="N11" s="22"/>
      <c r="O11" s="22"/>
      <c r="P11" s="22"/>
      <c r="Q11" s="22"/>
      <c r="R11" s="13"/>
      <c r="AC11" s="2"/>
      <c r="AD11" s="2"/>
      <c r="AE11" s="2"/>
      <c r="AF11" s="2"/>
      <c r="AG11" s="2"/>
    </row>
    <row r="12" spans="1:33" s="1" customFormat="1" ht="15" x14ac:dyDescent="0.25">
      <c r="B12" s="13"/>
      <c r="C12" s="13"/>
      <c r="D12" s="14"/>
      <c r="E12" s="15"/>
      <c r="F12" s="15"/>
      <c r="G12" s="15"/>
      <c r="H12" s="13"/>
      <c r="I12" s="14"/>
      <c r="J12" s="15"/>
      <c r="K12" s="15"/>
      <c r="L12" s="15"/>
      <c r="M12" s="13"/>
      <c r="N12" s="14"/>
      <c r="O12" s="17"/>
      <c r="P12" s="17"/>
      <c r="Q12" s="17"/>
      <c r="R12" s="13"/>
      <c r="AC12" s="2"/>
      <c r="AD12" s="2"/>
      <c r="AE12" s="2"/>
      <c r="AF12" s="2"/>
      <c r="AG12" s="2"/>
    </row>
    <row r="13" spans="1:33" s="1" customFormat="1" ht="15" x14ac:dyDescent="0.25">
      <c r="B13" s="13"/>
      <c r="C13" s="13"/>
      <c r="D13" s="15"/>
      <c r="E13" s="13"/>
      <c r="F13" s="13"/>
      <c r="G13" s="13"/>
      <c r="H13" s="13"/>
      <c r="I13" s="15"/>
      <c r="J13" s="13"/>
      <c r="K13" s="13"/>
      <c r="L13" s="13"/>
      <c r="M13" s="13"/>
      <c r="N13" s="15"/>
      <c r="O13" s="13"/>
      <c r="P13" s="13"/>
      <c r="Q13" s="13"/>
      <c r="R13" s="13"/>
      <c r="AC13" s="2"/>
      <c r="AD13" s="2"/>
      <c r="AE13" s="2"/>
      <c r="AF13" s="2"/>
      <c r="AG13" s="2"/>
    </row>
    <row r="14" spans="1:33" s="1" customFormat="1" ht="15" x14ac:dyDescent="0.25">
      <c r="B14" s="13"/>
      <c r="C14" s="13"/>
      <c r="D14" s="15"/>
      <c r="E14" s="23"/>
      <c r="F14" s="13"/>
      <c r="G14" s="13"/>
      <c r="H14" s="13"/>
      <c r="I14" s="15"/>
      <c r="J14" s="13"/>
      <c r="K14" s="13"/>
      <c r="L14" s="13"/>
      <c r="M14" s="13"/>
      <c r="N14" s="15"/>
      <c r="O14" s="13"/>
      <c r="P14" s="13"/>
      <c r="Q14" s="13"/>
      <c r="R14" s="13"/>
      <c r="AC14" s="2"/>
      <c r="AD14" s="2"/>
      <c r="AE14" s="2"/>
      <c r="AF14" s="2"/>
      <c r="AG14" s="2"/>
    </row>
    <row r="15" spans="1:33" s="1" customFormat="1" ht="15" customHeight="1" x14ac:dyDescent="0.2">
      <c r="B15" s="13"/>
      <c r="C15" s="13"/>
      <c r="D15" s="13"/>
      <c r="E15" s="23"/>
      <c r="F15" s="13"/>
      <c r="G15" s="13"/>
      <c r="H15" s="13"/>
      <c r="I15" s="13"/>
      <c r="J15" s="13"/>
      <c r="K15" s="13"/>
      <c r="L15" s="13"/>
      <c r="M15" s="13"/>
      <c r="N15" s="13"/>
      <c r="O15" s="13"/>
      <c r="P15" s="13"/>
      <c r="Q15" s="13"/>
      <c r="R15" s="13"/>
      <c r="AC15" s="2"/>
      <c r="AD15" s="2"/>
      <c r="AE15" s="2"/>
      <c r="AF15" s="2"/>
      <c r="AG15" s="2"/>
    </row>
    <row r="16" spans="1:33" s="1" customFormat="1" ht="15" x14ac:dyDescent="0.25">
      <c r="B16" s="13"/>
      <c r="C16" s="13"/>
      <c r="D16" s="22"/>
      <c r="E16" s="22"/>
      <c r="F16" s="22"/>
      <c r="G16" s="22"/>
      <c r="H16" s="13"/>
      <c r="I16" s="22"/>
      <c r="J16" s="22"/>
      <c r="K16" s="22"/>
      <c r="L16" s="22"/>
      <c r="M16" s="13"/>
      <c r="N16" s="22"/>
      <c r="O16" s="22"/>
      <c r="P16" s="22"/>
      <c r="Q16" s="22"/>
      <c r="R16" s="13"/>
      <c r="AC16" s="2"/>
      <c r="AD16" s="2"/>
      <c r="AE16" s="2"/>
      <c r="AF16" s="2"/>
      <c r="AG16" s="2"/>
    </row>
    <row r="17" spans="2:33" s="1" customFormat="1" ht="15" x14ac:dyDescent="0.25">
      <c r="B17" s="13"/>
      <c r="C17" s="13"/>
      <c r="D17" s="14"/>
      <c r="E17" s="15"/>
      <c r="F17" s="15"/>
      <c r="G17" s="15"/>
      <c r="H17" s="13"/>
      <c r="I17" s="14"/>
      <c r="J17" s="15"/>
      <c r="K17" s="15"/>
      <c r="L17" s="15"/>
      <c r="M17" s="13"/>
      <c r="N17" s="14"/>
      <c r="O17" s="16"/>
      <c r="P17" s="16"/>
      <c r="Q17" s="16"/>
      <c r="R17" s="13"/>
      <c r="AC17" s="2"/>
      <c r="AD17" s="2"/>
      <c r="AE17" s="2"/>
      <c r="AF17" s="2"/>
      <c r="AG17" s="2"/>
    </row>
    <row r="18" spans="2:33" s="1" customFormat="1" ht="15" x14ac:dyDescent="0.25">
      <c r="B18" s="13"/>
      <c r="C18" s="13"/>
      <c r="D18" s="15"/>
      <c r="E18" s="13"/>
      <c r="F18" s="13"/>
      <c r="G18" s="13"/>
      <c r="H18" s="13"/>
      <c r="I18" s="15"/>
      <c r="J18" s="13"/>
      <c r="K18" s="13"/>
      <c r="L18" s="13"/>
      <c r="M18" s="13"/>
      <c r="N18" s="15"/>
      <c r="O18" s="18"/>
      <c r="P18" s="18"/>
      <c r="Q18" s="18"/>
      <c r="R18" s="13"/>
      <c r="AC18" s="2"/>
      <c r="AD18" s="2"/>
      <c r="AE18" s="2"/>
      <c r="AF18" s="2"/>
      <c r="AG18" s="2"/>
    </row>
    <row r="19" spans="2:33" s="1" customFormat="1" ht="15" x14ac:dyDescent="0.25">
      <c r="B19" s="13"/>
      <c r="C19" s="13"/>
      <c r="D19" s="15"/>
      <c r="E19" s="13"/>
      <c r="F19" s="13"/>
      <c r="G19" s="13"/>
      <c r="H19" s="13"/>
      <c r="I19" s="15"/>
      <c r="J19" s="13"/>
      <c r="K19" s="13"/>
      <c r="L19" s="13"/>
      <c r="M19" s="13"/>
      <c r="N19" s="15"/>
      <c r="O19" s="18"/>
      <c r="P19" s="18"/>
      <c r="Q19" s="18"/>
      <c r="R19" s="13"/>
      <c r="AC19" s="2"/>
      <c r="AD19" s="2"/>
      <c r="AE19" s="2"/>
      <c r="AF19" s="2"/>
      <c r="AG19" s="2"/>
    </row>
    <row r="20" spans="2:33" s="1" customFormat="1" ht="15" customHeight="1" x14ac:dyDescent="0.2">
      <c r="B20" s="13"/>
      <c r="C20" s="13"/>
      <c r="D20" s="13"/>
      <c r="E20" s="13"/>
      <c r="F20" s="13"/>
      <c r="G20" s="13"/>
      <c r="H20" s="13"/>
      <c r="I20" s="13"/>
      <c r="J20" s="13"/>
      <c r="K20" s="13"/>
      <c r="L20" s="13"/>
      <c r="M20" s="13"/>
      <c r="N20" s="13"/>
      <c r="O20" s="13"/>
      <c r="P20" s="13"/>
      <c r="Q20" s="13"/>
      <c r="R20" s="13"/>
      <c r="AC20" s="2"/>
      <c r="AD20" s="2"/>
      <c r="AE20" s="2"/>
      <c r="AF20" s="2"/>
      <c r="AG20" s="2"/>
    </row>
    <row r="21" spans="2:33" s="1" customFormat="1" ht="15" x14ac:dyDescent="0.25">
      <c r="B21" s="13"/>
      <c r="C21" s="13"/>
      <c r="D21" s="22"/>
      <c r="E21" s="22"/>
      <c r="F21" s="22"/>
      <c r="G21" s="22"/>
      <c r="H21" s="13"/>
      <c r="I21" s="22"/>
      <c r="J21" s="22"/>
      <c r="K21" s="22"/>
      <c r="L21" s="22"/>
      <c r="M21" s="13"/>
      <c r="N21" s="22"/>
      <c r="O21" s="22"/>
      <c r="P21" s="22"/>
      <c r="Q21" s="22"/>
      <c r="R21" s="13"/>
      <c r="AC21" s="2"/>
      <c r="AD21" s="2"/>
      <c r="AE21" s="2"/>
      <c r="AF21" s="2"/>
      <c r="AG21" s="2"/>
    </row>
    <row r="22" spans="2:33" s="1" customFormat="1" ht="15" x14ac:dyDescent="0.25">
      <c r="B22" s="13"/>
      <c r="C22" s="13"/>
      <c r="D22" s="14"/>
      <c r="E22" s="15"/>
      <c r="F22" s="15"/>
      <c r="G22" s="15"/>
      <c r="H22" s="13"/>
      <c r="I22" s="14"/>
      <c r="J22" s="15"/>
      <c r="K22" s="15"/>
      <c r="L22" s="15"/>
      <c r="M22" s="13"/>
      <c r="N22" s="14"/>
      <c r="O22" s="16"/>
      <c r="P22" s="16"/>
      <c r="Q22" s="16"/>
      <c r="R22" s="13"/>
      <c r="AC22" s="2"/>
      <c r="AD22" s="2"/>
      <c r="AE22" s="2"/>
      <c r="AF22" s="2"/>
      <c r="AG22" s="2"/>
    </row>
    <row r="23" spans="2:33" s="1" customFormat="1" ht="15" x14ac:dyDescent="0.25">
      <c r="B23" s="13"/>
      <c r="C23" s="13"/>
      <c r="D23" s="15"/>
      <c r="E23" s="13"/>
      <c r="F23" s="13"/>
      <c r="G23" s="13"/>
      <c r="H23" s="13"/>
      <c r="I23" s="15"/>
      <c r="J23" s="13"/>
      <c r="K23" s="13"/>
      <c r="L23" s="13"/>
      <c r="M23" s="13"/>
      <c r="N23" s="15"/>
      <c r="O23" s="18"/>
      <c r="P23" s="18"/>
      <c r="Q23" s="18"/>
      <c r="R23" s="13"/>
      <c r="AC23" s="2"/>
      <c r="AD23" s="2"/>
      <c r="AE23" s="2"/>
      <c r="AF23" s="2"/>
      <c r="AG23" s="2"/>
    </row>
    <row r="24" spans="2:33" s="1" customFormat="1" ht="15" x14ac:dyDescent="0.25">
      <c r="B24" s="13"/>
      <c r="C24" s="13"/>
      <c r="D24" s="15"/>
      <c r="E24" s="13"/>
      <c r="F24" s="13"/>
      <c r="G24" s="13"/>
      <c r="H24" s="13"/>
      <c r="I24" s="15"/>
      <c r="J24" s="13"/>
      <c r="K24" s="13"/>
      <c r="L24" s="13"/>
      <c r="M24" s="13"/>
      <c r="N24" s="15"/>
      <c r="O24" s="18"/>
      <c r="P24" s="18"/>
      <c r="Q24" s="18"/>
      <c r="R24" s="13"/>
      <c r="AC24" s="2"/>
      <c r="AD24" s="2"/>
      <c r="AE24" s="2"/>
      <c r="AF24" s="2"/>
      <c r="AG24" s="2"/>
    </row>
    <row r="25" spans="2:33" s="1" customFormat="1" x14ac:dyDescent="0.2">
      <c r="B25" s="13"/>
      <c r="C25" s="13"/>
      <c r="D25" s="13"/>
      <c r="E25" s="13"/>
      <c r="F25" s="13"/>
      <c r="G25" s="13"/>
      <c r="H25" s="13"/>
      <c r="I25" s="13"/>
      <c r="J25" s="13"/>
      <c r="K25" s="13"/>
      <c r="L25" s="13"/>
      <c r="M25" s="13"/>
      <c r="N25" s="13"/>
      <c r="O25" s="13"/>
      <c r="P25" s="13"/>
      <c r="Q25" s="13"/>
      <c r="R25" s="13"/>
      <c r="AC25" s="2"/>
      <c r="AD25" s="2"/>
      <c r="AE25" s="2"/>
      <c r="AF25" s="2"/>
      <c r="AG25" s="2"/>
    </row>
    <row r="32" spans="2:33" s="1" customFormat="1" ht="15" customHeight="1" x14ac:dyDescent="0.2">
      <c r="AC32" s="2"/>
      <c r="AD32" s="2"/>
      <c r="AE32" s="2"/>
      <c r="AF32" s="2"/>
      <c r="AG32" s="2"/>
    </row>
    <row r="35" spans="1:33" s="1" customFormat="1" x14ac:dyDescent="0.2">
      <c r="AC35" s="2"/>
      <c r="AD35" s="2"/>
      <c r="AE35" s="2"/>
      <c r="AF35" s="2"/>
      <c r="AG35" s="2"/>
    </row>
    <row r="37" spans="1:33" s="3" customFormat="1"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2"/>
      <c r="AD37" s="2"/>
      <c r="AE37" s="2"/>
      <c r="AF37" s="2"/>
      <c r="AG37" s="2"/>
    </row>
  </sheetData>
  <mergeCells count="1">
    <mergeCell ref="I2:L2"/>
  </mergeCells>
  <pageMargins left="0.7" right="0.7" top="0.75" bottom="0.75" header="0.3" footer="0.3"/>
  <pageSetup orientation="landscape"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vt:lpstr>
      <vt:lpstr>Quote Table</vt:lpstr>
      <vt:lpstr>Data Points</vt:lpstr>
      <vt:lpstr>Time Series</vt:lpstr>
      <vt:lpstr>Time and Sales</vt:lpstr>
      <vt:lpstr>Options</vt:lpstr>
      <vt:lpstr>Formula Builder</vt:lpstr>
      <vt:lpstr>Forward Curves</vt:lpstr>
      <vt:lpstr>'Data Points'!Print_Area</vt:lpstr>
      <vt:lpstr>'Formula Builder'!Print_Area</vt:lpstr>
      <vt:lpstr>'Forward Curves'!Print_Area</vt:lpstr>
      <vt:lpstr>Options!Print_Area</vt:lpstr>
      <vt:lpstr>'Quote Table'!Print_Area</vt:lpstr>
      <vt:lpstr>'Time and Sales'!Print_Area</vt:lpstr>
      <vt:lpstr>'Time Series'!Print_Area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Woolford</dc:creator>
  <cp:lastModifiedBy>Andrew McSween</cp:lastModifiedBy>
  <dcterms:created xsi:type="dcterms:W3CDTF">2015-06-09T11:57:01Z</dcterms:created>
  <dcterms:modified xsi:type="dcterms:W3CDTF">2022-01-27T21:44:49Z</dcterms:modified>
</cp:coreProperties>
</file>